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7s3K2OziW7bV5okcA7VGJ3iTYZXiE7rPnQitPmtaClyzxfhBABs456k3F+tq9XtEXQ6Z0OYOdDK9RCt0SoqsIg==" workbookSaltValue="N/FfVNi3GCcsD6Av7N1cL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2" i="14" l="1"/>
  <c r="K12" i="14" s="1"/>
  <c r="H17" i="2"/>
  <c r="BG15" i="8"/>
  <c r="B12" i="6"/>
  <c r="R8" i="9"/>
  <c r="BF11" i="11" s="1"/>
  <c r="BL9" i="11"/>
  <c r="P17" i="17"/>
  <c r="BL12" i="11"/>
  <c r="Q10" i="21"/>
  <c r="BI17" i="11"/>
  <c r="BM15" i="11"/>
  <c r="BW17"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<sst xmlns="http://schemas.openxmlformats.org/spreadsheetml/2006/main" count="2094" uniqueCount="913">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</sst>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pfHQETul6OSnY7g6TiKlpG0wboqz9s+KMe4L9ECikLCtmnb2JJ/wuQjClde2gBstWFLprP/jp8PY7dvDYCkEA==" saltValue="7nHNVYAiwCGRDVsIR7zL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2</v>
      </c>
      <c r="F10" s="230">
        <f>IF(ISNUMBER(Datos!K10),Datos!K10," - ")</f>
        <v>7</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-0.1388888888888889</v>
      </c>
      <c r="L10" s="1201">
        <f>IF(ISNUMBER(NºAsuntos!I10/NºAsuntos!G10),(NºAsuntos!I10/NºAsuntos!G10)*11," - ")</f>
        <v>48.714285714285715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51.019587628865985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2</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1494</v>
      </c>
      <c r="D16" s="229">
        <f>IF(ISNUMBER(IF(D_I="SI",Datos!I16,Datos!I16+Datos!AC16)),IF(D_I="SI",Datos!I16,Datos!I16+Datos!AC16)," - ")</f>
        <v>1494</v>
      </c>
      <c r="E16" s="230">
        <f>IF(ISNUMBER(IF(D_I="SI",Datos!J16,Datos!J16+Datos!AD16)),IF(D_I="SI",Datos!J16,Datos!J16+Datos!AD16)," - ")</f>
        <v>723</v>
      </c>
      <c r="F16" s="230">
        <f>IF(ISNUMBER(IF(D_I="SI",Datos!K16,Datos!K16+Datos!AE16)),IF(D_I="SI",Datos!K16,Datos!K16+Datos!AE16)," - ")</f>
        <v>571</v>
      </c>
      <c r="G16" s="1189" t="str">
        <f>IF(Datos!E16&lt;&gt;"",Datos!E16,Datos!D16)</f>
        <v>04</v>
      </c>
      <c r="H16" s="231">
        <f>IF(ISNUMBER(IF(D_I="SI",Datos!L16,Datos!L16+Datos!AF16)),IF(D_I="SI",Datos!L16,Datos!L16+Datos!AF16)," - ")</f>
        <v>1646</v>
      </c>
      <c r="I16" s="1199" t="str">
        <f>IF(ISNUMBER(Datos!AS16/Datos!BM16),Datos!AS16/Datos!BM16," - ")</f>
        <v xml:space="preserve"> - </v>
      </c>
      <c r="J16" s="1200">
        <f>IF(ISNUMBER(Datos!BY16/Datos!CN16),Datos!BY16/Datos!CN16," - ")</f>
        <v>0</v>
      </c>
      <c r="K16" s="234">
        <f t="shared" si="3"/>
        <v>0.10174029451137885</v>
      </c>
      <c r="L16" s="1201">
        <f>IF(ISNUMBER(NºAsuntos!I16/NºAsuntos!G16),(NºAsuntos!I16/NºAsuntos!G16)*11," - ")</f>
        <v>31.709281961471106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96</v>
      </c>
      <c r="D17" s="229">
        <f>IF(ISNUMBER(IF(D_I="SI",Datos!I17,Datos!I17+Datos!AC17)),IF(D_I="SI",Datos!I17,Datos!I17+Datos!AC17)," - ")</f>
        <v>96</v>
      </c>
      <c r="E17" s="230">
        <f>IF(ISNUMBER(IF(D_I="SI",Datos!J17,Datos!J17+Datos!AD17)),IF(D_I="SI",Datos!J17,Datos!J17+Datos!AD17)," - ")</f>
        <v>20</v>
      </c>
      <c r="F17" s="230">
        <f>IF(ISNUMBER(IF(D_I="SI",Datos!K17,Datos!K17+Datos!AE17)),IF(D_I="SI",Datos!K17,Datos!K17+Datos!AE17)," - ")</f>
        <v>31</v>
      </c>
      <c r="G17" s="1189" t="str">
        <f>IF(Datos!E17&lt;&gt;"",Datos!E17,Datos!D17)</f>
        <v>37</v>
      </c>
      <c r="H17" s="231">
        <f>IF(ISNUMBER(IF(D_I="SI",Datos!L17,Datos!L17+Datos!AF17)),IF(D_I="SI",Datos!L17,Datos!L17+Datos!AF17)," - ")</f>
        <v>85</v>
      </c>
      <c r="I17" s="1199" t="str">
        <f>IF(ISNUMBER(Datos!AS17/Datos!BM17),Datos!AS17/Datos!BM17," - ")</f>
        <v xml:space="preserve"> - </v>
      </c>
      <c r="J17" s="1200" t="str">
        <f>IF(ISNUMBER((Datos!BY17+Datos!BZ17)/Datos!CN17),(Datos!BY17+Datos!BZ17)/Datos!CN17," - ")</f>
        <v xml:space="preserve"> - </v>
      </c>
      <c r="K17" s="234">
        <f t="shared" si="3"/>
        <v>-0.11458333333333333</v>
      </c>
      <c r="L17" s="1201">
        <f>IF(ISNUMBER(NºAsuntos!I17/NºAsuntos!G17),(NºAsuntos!I17/NºAsuntos!G17)*11," - ")</f>
        <v>30.161290322580644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1590</v>
      </c>
      <c r="D18" s="1206">
        <f>SUBTOTAL(9,D15:D17)</f>
        <v>1590</v>
      </c>
      <c r="E18" s="1207">
        <f>SUBTOTAL(9,E15:E17)</f>
        <v>743</v>
      </c>
      <c r="F18" s="1207">
        <f>SUBTOTAL(9,F15:F17)</f>
        <v>602</v>
      </c>
      <c r="G18" s="1209" t="str">
        <f ca="1">INDIRECT(CONCATENATE("G",ROW()-1))</f>
        <v>37</v>
      </c>
      <c r="H18" s="1210">
        <f ca="1">SUMIF(G$14:G17,G18,H$14:H17)</f>
        <v>85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1626</v>
      </c>
      <c r="D19" s="1228">
        <f>SUBTOTAL(9,D9:D18)</f>
        <v>1626</v>
      </c>
      <c r="E19" s="1229">
        <f>SUBTOTAL(9,E9:E18)</f>
        <v>745</v>
      </c>
      <c r="F19" s="1229">
        <f>SUBTOTAL(9,F9:F18)</f>
        <v>609</v>
      </c>
      <c r="G19" s="1230"/>
      <c r="H19" s="1231">
        <f ca="1">SUMIF(B9:B18,"TOTAL",H9:H18)</f>
        <v>85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N0vxN64H60Vojmb1/ZP/HZ02LjdF0eFHU+2xV+iBAy50Oq/5NEneDS8/qwst6BRWyNj1tvCUwzYeQMUFqqyQ==" saltValue="HiRsmbKeQwxTbT/F8UO4Q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5im/Qc9gbm4mUmJBUNiBRv+iPeUEyEucp1mFFxcBhrVFG0EEp/wvXUP644NmHyghtYhiHGL+uIzOior3DUtAg==" saltValue="zvajwGumUl99LbkZxUD8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2</v>
      </c>
      <c r="K10" s="185">
        <v>7</v>
      </c>
      <c r="L10" s="185">
        <v>31</v>
      </c>
      <c r="M10" s="185">
        <v>6</v>
      </c>
      <c r="N10" s="185">
        <v>0</v>
      </c>
      <c r="O10" s="185">
        <v>0</v>
      </c>
      <c r="P10" s="185">
        <v>1</v>
      </c>
      <c r="Q10" s="185">
        <v>1</v>
      </c>
      <c r="R10" s="185">
        <v>15</v>
      </c>
      <c r="S10" s="185">
        <v>33</v>
      </c>
      <c r="T10" s="185">
        <v>6</v>
      </c>
      <c r="U10" s="185">
        <v>6</v>
      </c>
      <c r="V10" s="185">
        <v>33</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6</v>
      </c>
      <c r="BA10" s="130">
        <f t="shared" si="0"/>
        <v>6</v>
      </c>
      <c r="BB10" s="130">
        <f t="shared" si="0"/>
        <v>33</v>
      </c>
      <c r="BC10" s="126">
        <f t="shared" si="0"/>
        <v>3</v>
      </c>
      <c r="BD10" s="127">
        <f>IF(ISNUMBER(BA10/AZ10),BA10/AZ10," - ")</f>
        <v>1</v>
      </c>
      <c r="BE10" s="128">
        <f>IF(ISNUMBER(BB10/BA10),BB10/BA10, " - ")</f>
        <v>5.5</v>
      </c>
      <c r="BF10" s="128">
        <f>IF(ISNUMBER(BC10/BA10),BC10/BA10, " - ")</f>
        <v>0.5</v>
      </c>
      <c r="BG10" s="200">
        <f>IF(ISNUMBER((AY10+AZ10)/BA10),(AY10+AZ10)/BA10," - ")</f>
        <v>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4217</v>
      </c>
      <c r="J12" s="187">
        <v>1141</v>
      </c>
      <c r="K12" s="187">
        <v>902</v>
      </c>
      <c r="L12" s="187">
        <v>4457</v>
      </c>
      <c r="M12" s="187">
        <v>274</v>
      </c>
      <c r="N12" s="187">
        <v>246</v>
      </c>
      <c r="O12" s="185">
        <v>403</v>
      </c>
      <c r="P12" s="187">
        <v>205</v>
      </c>
      <c r="Q12" s="187">
        <v>164</v>
      </c>
      <c r="R12" s="187">
        <v>6558</v>
      </c>
      <c r="S12" s="187">
        <v>3460</v>
      </c>
      <c r="T12" s="187">
        <v>767</v>
      </c>
      <c r="U12" s="187">
        <v>597</v>
      </c>
      <c r="V12" s="187">
        <v>3630</v>
      </c>
      <c r="W12" s="187">
        <v>192</v>
      </c>
      <c r="X12" s="193">
        <v>205</v>
      </c>
      <c r="Y12" s="195">
        <v>34</v>
      </c>
      <c r="Z12" s="185">
        <v>70</v>
      </c>
      <c r="AA12" s="185">
        <v>68</v>
      </c>
      <c r="AB12" s="185">
        <v>42</v>
      </c>
      <c r="AC12" s="187">
        <v>0</v>
      </c>
      <c r="AD12" s="187">
        <v>0</v>
      </c>
      <c r="AE12" s="187">
        <v>0</v>
      </c>
      <c r="AF12" s="193">
        <v>0</v>
      </c>
      <c r="AG12" s="206">
        <v>57</v>
      </c>
      <c r="AH12" s="187">
        <v>52</v>
      </c>
      <c r="AI12" s="187">
        <v>65</v>
      </c>
      <c r="AJ12" s="207">
        <v>44</v>
      </c>
      <c r="AK12" s="186">
        <v>0</v>
      </c>
      <c r="AL12" s="187">
        <v>0</v>
      </c>
      <c r="AM12" s="187">
        <v>0</v>
      </c>
      <c r="AN12" s="193">
        <v>0</v>
      </c>
      <c r="AO12" s="263">
        <v>4</v>
      </c>
      <c r="AP12" s="159">
        <v>4</v>
      </c>
      <c r="AQ12" s="159">
        <v>4</v>
      </c>
      <c r="AR12" s="158">
        <v>4</v>
      </c>
      <c r="AS12" s="349" t="s">
        <v>811</v>
      </c>
      <c r="AT12" s="207"/>
      <c r="AU12" s="206"/>
      <c r="AV12" s="207"/>
      <c r="AW12" s="206"/>
      <c r="AX12" s="207"/>
      <c r="AY12" s="127">
        <f t="shared" si="1"/>
        <v>3517</v>
      </c>
      <c r="AZ12" s="128">
        <f t="shared" si="1"/>
        <v>819</v>
      </c>
      <c r="BA12" s="128">
        <f t="shared" si="1"/>
        <v>662</v>
      </c>
      <c r="BB12" s="128">
        <f t="shared" si="1"/>
        <v>3674</v>
      </c>
      <c r="BC12" s="126">
        <f>IF(ISNUMBER(X12),X12," - ")</f>
        <v>205</v>
      </c>
      <c r="BD12" s="127">
        <f t="shared" si="2"/>
        <v>0.80830280830280832</v>
      </c>
      <c r="BE12" s="128">
        <f t="shared" si="3"/>
        <v>5.549848942598187</v>
      </c>
      <c r="BF12" s="128">
        <f t="shared" si="4"/>
        <v>0.30966767371601206</v>
      </c>
      <c r="BG12" s="200">
        <f t="shared" si="5"/>
        <v>6.549848942598187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4253</v>
      </c>
      <c r="J13" s="188">
        <f t="shared" si="6"/>
        <v>1143</v>
      </c>
      <c r="K13" s="188">
        <f t="shared" si="6"/>
        <v>909</v>
      </c>
      <c r="L13" s="188">
        <f t="shared" si="6"/>
        <v>4488</v>
      </c>
      <c r="M13" s="188">
        <f t="shared" si="6"/>
        <v>280</v>
      </c>
      <c r="N13" s="188">
        <f t="shared" si="6"/>
        <v>246</v>
      </c>
      <c r="O13" s="188">
        <f t="shared" si="6"/>
        <v>403</v>
      </c>
      <c r="P13" s="188">
        <f t="shared" si="6"/>
        <v>206</v>
      </c>
      <c r="Q13" s="188">
        <f t="shared" si="6"/>
        <v>165</v>
      </c>
      <c r="R13" s="188">
        <f t="shared" si="6"/>
        <v>6573</v>
      </c>
      <c r="S13" s="188">
        <f t="shared" si="6"/>
        <v>3493</v>
      </c>
      <c r="T13" s="188">
        <f t="shared" si="6"/>
        <v>773</v>
      </c>
      <c r="U13" s="188">
        <f t="shared" si="6"/>
        <v>603</v>
      </c>
      <c r="V13" s="188">
        <f t="shared" si="6"/>
        <v>3663</v>
      </c>
      <c r="W13" s="188">
        <f t="shared" si="6"/>
        <v>195</v>
      </c>
      <c r="X13" s="188">
        <f t="shared" si="6"/>
        <v>206</v>
      </c>
      <c r="Y13" s="188">
        <f t="shared" si="6"/>
        <v>34</v>
      </c>
      <c r="Z13" s="188">
        <f t="shared" si="6"/>
        <v>70</v>
      </c>
      <c r="AA13" s="188">
        <f t="shared" si="6"/>
        <v>68</v>
      </c>
      <c r="AB13" s="188">
        <f t="shared" si="6"/>
        <v>42</v>
      </c>
      <c r="AC13" s="188">
        <f t="shared" si="6"/>
        <v>0</v>
      </c>
      <c r="AD13" s="188">
        <f t="shared" si="6"/>
        <v>0</v>
      </c>
      <c r="AE13" s="188">
        <f t="shared" si="6"/>
        <v>0</v>
      </c>
      <c r="AF13" s="188">
        <f>SUBTOTAL(9,AF9:AF12)</f>
        <v>0</v>
      </c>
      <c r="AG13" s="188">
        <f t="shared" ref="AG13:AT13" si="7">SUBTOTAL(9,AG8:AG12)</f>
        <v>57</v>
      </c>
      <c r="AH13" s="188">
        <f t="shared" si="7"/>
        <v>52</v>
      </c>
      <c r="AI13" s="188">
        <f t="shared" si="7"/>
        <v>65</v>
      </c>
      <c r="AJ13" s="188">
        <f t="shared" si="7"/>
        <v>44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3550</v>
      </c>
      <c r="AZ13" s="188">
        <f>SUBTOTAL(9,AZ8:AZ12)</f>
        <v>825</v>
      </c>
      <c r="BA13" s="188">
        <f>SUBTOTAL(9,BA8:BA12)</f>
        <v>668</v>
      </c>
      <c r="BB13" s="188">
        <f>SUBTOTAL(9,BB8:BB12)</f>
        <v>3707</v>
      </c>
      <c r="BC13" s="188">
        <f>SUBTOTAL(9,BC8:BC12)</f>
        <v>208</v>
      </c>
      <c r="BD13" s="209">
        <f>IF(ISNUMBER(BA13/AZ13),BA13/AZ13," - ")</f>
        <v>0.80969696969696969</v>
      </c>
      <c r="BE13" s="210">
        <f>IF(ISNUMBER(BB13/BA13),BB13/BA13, " - ")</f>
        <v>5.5494011976047908</v>
      </c>
      <c r="BF13" s="210">
        <f>IF(ISNUMBER(BC13/BA13),BC13/BA13, " - ")</f>
        <v>0.31137724550898205</v>
      </c>
      <c r="BG13" s="211">
        <f>IF(ISNUMBER((AY13+AZ13)/BA13),(AY13+AZ13)/BA13," - ")</f>
        <v>6.5494011976047908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1494</v>
      </c>
      <c r="J16" s="187">
        <v>723</v>
      </c>
      <c r="K16" s="187">
        <v>571</v>
      </c>
      <c r="L16" s="187">
        <v>1646</v>
      </c>
      <c r="M16" s="187">
        <v>174</v>
      </c>
      <c r="N16" s="187">
        <v>281</v>
      </c>
      <c r="O16" s="185">
        <v>0</v>
      </c>
      <c r="P16" s="187">
        <v>24</v>
      </c>
      <c r="Q16" s="187">
        <v>23</v>
      </c>
      <c r="R16" s="187">
        <v>125</v>
      </c>
      <c r="S16" s="187">
        <v>1094</v>
      </c>
      <c r="T16" s="187">
        <v>620</v>
      </c>
      <c r="U16" s="187">
        <v>539</v>
      </c>
      <c r="V16" s="187">
        <v>1175</v>
      </c>
      <c r="W16" s="187">
        <v>115</v>
      </c>
      <c r="X16" s="193">
        <v>307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1094</v>
      </c>
      <c r="AZ16" s="128">
        <f t="shared" si="9"/>
        <v>620</v>
      </c>
      <c r="BA16" s="128">
        <f t="shared" si="9"/>
        <v>539</v>
      </c>
      <c r="BB16" s="128">
        <f t="shared" si="9"/>
        <v>1175</v>
      </c>
      <c r="BC16" s="126">
        <f>IF(ISNUMBER(W16),W16," - ")</f>
        <v>115</v>
      </c>
      <c r="BD16" s="127">
        <f t="shared" ref="BD16" si="11">IF(ISNUMBER(BA16/AZ16),BA16/AZ16," - ")</f>
        <v>0.86935483870967745</v>
      </c>
      <c r="BE16" s="128">
        <f t="shared" ref="BE16" si="12">IF(ISNUMBER(BB16/BA16),BB16/BA16, " - ")</f>
        <v>2.1799628942486087</v>
      </c>
      <c r="BF16" s="128">
        <f t="shared" ref="BF16" si="13">IF(ISNUMBER(BC16/BA16),BC16/BA16, " - ")</f>
        <v>0.21335807050092764</v>
      </c>
      <c r="BG16" s="200">
        <f t="shared" si="10"/>
        <v>3.1799628942486087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96</v>
      </c>
      <c r="J17" s="187">
        <v>20</v>
      </c>
      <c r="K17" s="187">
        <v>31</v>
      </c>
      <c r="L17" s="187">
        <v>85</v>
      </c>
      <c r="M17" s="187">
        <v>1</v>
      </c>
      <c r="N17" s="187">
        <v>3</v>
      </c>
      <c r="O17" s="187">
        <v>0</v>
      </c>
      <c r="P17" s="187">
        <v>1</v>
      </c>
      <c r="Q17" s="187">
        <v>0</v>
      </c>
      <c r="R17" s="187">
        <v>1</v>
      </c>
      <c r="S17" s="187">
        <v>79</v>
      </c>
      <c r="T17" s="187">
        <v>82</v>
      </c>
      <c r="U17" s="187">
        <v>83</v>
      </c>
      <c r="V17" s="187">
        <v>78</v>
      </c>
      <c r="W17" s="187">
        <v>15</v>
      </c>
      <c r="X17" s="193">
        <v>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79</v>
      </c>
      <c r="AZ17" s="130">
        <f t="shared" si="14"/>
        <v>82</v>
      </c>
      <c r="BA17" s="130">
        <f t="shared" si="14"/>
        <v>83</v>
      </c>
      <c r="BB17" s="130">
        <f t="shared" si="14"/>
        <v>78</v>
      </c>
      <c r="BC17" s="126">
        <f>IF(ISNUMBER(W17),W17," - ")</f>
        <v>15</v>
      </c>
      <c r="BD17" s="127">
        <f>IF(ISNUMBER(BA17/AZ17),BA17/AZ17," - ")</f>
        <v>1.0121951219512195</v>
      </c>
      <c r="BE17" s="128">
        <f>IF(ISNUMBER(BB17/BA17),BB17/BA17, " - ")</f>
        <v>0.93975903614457834</v>
      </c>
      <c r="BF17" s="128">
        <f>IF(ISNUMBER(BC17/BA17),BC17/BA17, " - ")</f>
        <v>0.18072289156626506</v>
      </c>
      <c r="BG17" s="200">
        <f>IF(ISNUMBER((AY17+AZ17)/BA17),(AY17+AZ17)/BA17," - ")</f>
        <v>1.9397590361445782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1590</v>
      </c>
      <c r="J18" s="188">
        <f t="shared" si="15"/>
        <v>743</v>
      </c>
      <c r="K18" s="188">
        <f t="shared" si="15"/>
        <v>602</v>
      </c>
      <c r="L18" s="188">
        <f t="shared" si="15"/>
        <v>1731</v>
      </c>
      <c r="M18" s="188">
        <f t="shared" si="15"/>
        <v>175</v>
      </c>
      <c r="N18" s="188">
        <f t="shared" si="15"/>
        <v>284</v>
      </c>
      <c r="O18" s="188">
        <f t="shared" si="15"/>
        <v>0</v>
      </c>
      <c r="P18" s="188">
        <f t="shared" si="15"/>
        <v>25</v>
      </c>
      <c r="Q18" s="188">
        <f t="shared" si="15"/>
        <v>23</v>
      </c>
      <c r="R18" s="188">
        <f t="shared" si="15"/>
        <v>126</v>
      </c>
      <c r="S18" s="188">
        <f t="shared" si="15"/>
        <v>1173</v>
      </c>
      <c r="T18" s="188">
        <f t="shared" si="15"/>
        <v>702</v>
      </c>
      <c r="U18" s="188">
        <f t="shared" si="15"/>
        <v>622</v>
      </c>
      <c r="V18" s="188">
        <f t="shared" si="15"/>
        <v>1253</v>
      </c>
      <c r="W18" s="188">
        <f t="shared" si="15"/>
        <v>130</v>
      </c>
      <c r="X18" s="188">
        <f t="shared" si="15"/>
        <v>365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1173</v>
      </c>
      <c r="AZ18" s="188">
        <f>SUBTOTAL(9,AZ14:AZ17)</f>
        <v>702</v>
      </c>
      <c r="BA18" s="188">
        <f>SUBTOTAL(9,BA14:BA17)</f>
        <v>622</v>
      </c>
      <c r="BB18" s="188">
        <f>SUBTOTAL(9,BB14:BB17)</f>
        <v>1253</v>
      </c>
      <c r="BC18" s="188">
        <f>SUBTOTAL(9,BC14:BC17)</f>
        <v>130</v>
      </c>
      <c r="BD18" s="209">
        <f>IF(ISNUMBER(BA18/AZ18),BA18/AZ18," - ")</f>
        <v>0.88603988603988604</v>
      </c>
      <c r="BE18" s="210">
        <f>IF(ISNUMBER(BB18/BA18),BB18/BA18, " - ")</f>
        <v>2.014469453376206</v>
      </c>
      <c r="BF18" s="210">
        <f>IF(ISNUMBER(BC18/BA18),BC18/BA18, " - ")</f>
        <v>0.20900321543408359</v>
      </c>
      <c r="BG18" s="211">
        <f>IF(ISNUMBER((AY18+AZ18)/BA18),(AY18+AZ18)/BA18," - ")</f>
        <v>3.014469453376206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5843</v>
      </c>
      <c r="J19" s="135">
        <f t="shared" si="18"/>
        <v>1886</v>
      </c>
      <c r="K19" s="135">
        <f t="shared" si="18"/>
        <v>1511</v>
      </c>
      <c r="L19" s="135">
        <f t="shared" si="18"/>
        <v>6219</v>
      </c>
      <c r="M19" s="135">
        <f t="shared" si="18"/>
        <v>455</v>
      </c>
      <c r="N19" s="135">
        <f t="shared" si="18"/>
        <v>530</v>
      </c>
      <c r="O19" s="135">
        <f t="shared" si="18"/>
        <v>403</v>
      </c>
      <c r="P19" s="135">
        <f t="shared" si="18"/>
        <v>231</v>
      </c>
      <c r="Q19" s="135">
        <f t="shared" si="18"/>
        <v>188</v>
      </c>
      <c r="R19" s="135">
        <f t="shared" si="18"/>
        <v>6699</v>
      </c>
      <c r="S19" s="135">
        <f t="shared" si="18"/>
        <v>4666</v>
      </c>
      <c r="T19" s="135">
        <f t="shared" si="18"/>
        <v>1475</v>
      </c>
      <c r="U19" s="135">
        <f t="shared" si="18"/>
        <v>1225</v>
      </c>
      <c r="V19" s="135">
        <f t="shared" si="18"/>
        <v>4916</v>
      </c>
      <c r="W19" s="135">
        <f t="shared" si="18"/>
        <v>325</v>
      </c>
      <c r="X19" s="135">
        <f t="shared" si="18"/>
        <v>571</v>
      </c>
      <c r="Y19" s="135">
        <f t="shared" si="18"/>
        <v>34</v>
      </c>
      <c r="Z19" s="135">
        <f t="shared" si="18"/>
        <v>70</v>
      </c>
      <c r="AA19" s="135">
        <f t="shared" si="18"/>
        <v>68</v>
      </c>
      <c r="AB19" s="135">
        <f t="shared" si="18"/>
        <v>42</v>
      </c>
      <c r="AC19" s="135">
        <f t="shared" si="18"/>
        <v>0</v>
      </c>
      <c r="AD19" s="135">
        <f t="shared" si="18"/>
        <v>0</v>
      </c>
      <c r="AE19" s="135">
        <f t="shared" si="18"/>
        <v>0</v>
      </c>
      <c r="AF19" s="135">
        <f t="shared" si="18"/>
        <v>0</v>
      </c>
      <c r="AG19" s="135">
        <f t="shared" si="18"/>
        <v>57</v>
      </c>
      <c r="AH19" s="135">
        <f t="shared" si="18"/>
        <v>52</v>
      </c>
      <c r="AI19" s="135">
        <f t="shared" si="18"/>
        <v>65</v>
      </c>
      <c r="AJ19" s="135">
        <f t="shared" si="18"/>
        <v>44</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4723</v>
      </c>
      <c r="AZ19" s="135">
        <f>SUBTOTAL(9,AZ9:AZ18)</f>
        <v>1527</v>
      </c>
      <c r="BA19" s="135">
        <f>SUBTOTAL(9,BA9:BA18)</f>
        <v>1290</v>
      </c>
      <c r="BB19" s="135">
        <f>SUBTOTAL(9,BB9:BB18)</f>
        <v>4960</v>
      </c>
      <c r="BC19" s="136">
        <f>SUBTOTAL(9,BC9:BC18)</f>
        <v>338</v>
      </c>
      <c r="BD19" s="217">
        <f>IF(ISNUMBER(BA19/AZ19),BA19/AZ19," - ")</f>
        <v>0.84479371316306484</v>
      </c>
      <c r="BE19" s="214">
        <f>IF(ISNUMBER(BB19/BA19),BB19/BA19, " - ")</f>
        <v>3.8449612403100777</v>
      </c>
      <c r="BF19" s="214">
        <f>IF(ISNUMBER(BC19/BA19),BC19/BA19, " - ")</f>
        <v>0.262015503875969</v>
      </c>
      <c r="BG19" s="136">
        <f>IF(ISNUMBER((AY19+AZ19)/BA19),(AY19+AZ19)/BA19," - ")</f>
        <v>4.8449612403100772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aDg+ELt7uDj8Q1fKqKKYLmt2Fiv+udZEfPV7tgt8vHJ0nEM/Di7AegFex3dd+yyoSgUVroH1LBwUZnbuCG7vQ==" saltValue="Lq2QFqS44wEObYb8bTva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jR1BGFoS+vRPiehOnY0lQPIBdn8u/6ESIzQDCdpn69H9uN6abwQKMsROEgUqceurCjFMufzR3dyREumy0v1EQ==" saltValue="IHilShyQ81IWc1fEjZq4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NOVELDA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1</v>
      </c>
      <c r="AD10" s="503"/>
      <c r="AE10" s="516"/>
      <c r="AF10" s="505">
        <f>IF(ISNUMBER(Datos!L10),Datos!L10,"-")</f>
        <v>31</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3.5</v>
      </c>
      <c r="BH10" s="669">
        <f>IF(ISNUMBER(((Datos!L10/Datos!K10)*11)/factor_trimestre),((Datos!L10/Datos!K10)*11)/factor_trimestre," - ")</f>
        <v>13.285714285714286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70</v>
      </c>
      <c r="O12" s="503"/>
      <c r="P12" s="503"/>
      <c r="Q12" s="501">
        <f>IF(ISNUMBER(Datos!P12),Datos!P12,0)</f>
        <v>205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42</v>
      </c>
      <c r="AI12" s="503" t="str">
        <f>IF(ISNUMBER(Datos!CD12),Datos!CD12,"-")</f>
        <v>-</v>
      </c>
      <c r="AJ12" s="503" t="str">
        <f>IF(ISNUMBER(Datos!EN12),Datos!EN12," - ")</f>
        <v xml:space="preserve"> - </v>
      </c>
      <c r="AK12" s="503"/>
      <c r="AL12" s="504"/>
      <c r="AM12" s="671">
        <f>IF(ISNUMBER(Datos!R12),Datos!R12," - ")</f>
        <v>6558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274</v>
      </c>
      <c r="BD12" s="619">
        <f>IF(ISNUMBER(Datos!N12),Datos!N12," - ")</f>
        <v>246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0.80099091659785304</v>
      </c>
      <c r="BH12" s="669">
        <f>IF(ISNUMBER(((IF(J_V="SI",Datos!L12/Datos!K12,(Datos!L12+Datos!AB12)/(Datos!K12+Datos!AA12)))*11)/factor_trimestre),((IF(J_V="SI",Datos!L12/Datos!K12,(Datos!L12+Datos!AB12)/(Datos!K12+Datos!AA12)))*11)/factor_trimestre," - ")</f>
        <v>13.914432989690724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6.2912382998312104E-3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70</v>
      </c>
      <c r="O13" s="1046">
        <f t="shared" si="0"/>
        <v>0</v>
      </c>
      <c r="P13" s="1046">
        <f t="shared" si="0"/>
        <v>0</v>
      </c>
      <c r="Q13" s="1045">
        <f t="shared" si="0"/>
        <v>206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165</v>
      </c>
      <c r="AD13" s="1045">
        <f t="shared" si="1"/>
        <v>0</v>
      </c>
      <c r="AE13" s="1045">
        <f t="shared" si="1"/>
        <v>0</v>
      </c>
      <c r="AF13" s="1045">
        <f t="shared" si="1"/>
        <v>31</v>
      </c>
      <c r="AG13" s="1045">
        <f t="shared" si="1"/>
        <v>0</v>
      </c>
      <c r="AH13" s="1045">
        <f t="shared" si="1"/>
        <v>42</v>
      </c>
      <c r="AI13" s="1045">
        <f t="shared" si="1"/>
        <v>0</v>
      </c>
      <c r="AJ13" s="1045">
        <f t="shared" si="1"/>
        <v>0</v>
      </c>
      <c r="AK13" s="1045">
        <f t="shared" si="1"/>
        <v>0</v>
      </c>
      <c r="AL13" s="1045">
        <f t="shared" si="1"/>
        <v>0</v>
      </c>
      <c r="AM13" s="1045">
        <f t="shared" si="1"/>
        <v>6573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280</v>
      </c>
      <c r="BD13" s="1045">
        <f t="shared" si="1"/>
        <v>246</v>
      </c>
      <c r="BE13" s="1045">
        <f t="shared" si="1"/>
        <v>0</v>
      </c>
      <c r="BF13" s="1045">
        <f t="shared" si="1"/>
        <v>0</v>
      </c>
      <c r="BG13" s="1045">
        <f>IF(ISNUMBER(Datos!K13/Datos!J13),Datos!K13/Datos!J13," - ")</f>
        <v>0.79527559055118113</v>
      </c>
      <c r="BH13" s="1049">
        <f>IF(ISNUMBER(((Datos!L13/Datos!K13)*11)/factor_trimestre),((Datos!L13/Datos!K13)*11)/factor_trimestre," - ")</f>
        <v>14.811881188118813</v>
      </c>
      <c r="BI13" s="1045">
        <f>IF(ISNUMBER('Resol  Asuntos'!D13/NºAsuntos!G13),'Resol  Asuntos'!D13/NºAsuntos!G13," - ")</f>
        <v>0.2865916069600819</v>
      </c>
      <c r="BJ13" s="1045" t="str">
        <f>IF(ISNUMBER(Datos!CI13/Datos!CJ13),Datos!CI13/Datos!CJ13," - ")</f>
        <v xml:space="preserve"> - </v>
      </c>
      <c r="BK13" s="1045">
        <f>SUBTOTAL(9,BK8:BK12)</f>
        <v>0</v>
      </c>
      <c r="BL13" s="1045">
        <f>IF(ISNUMBER((I13-AB13+L13)/(F13)),(I13-AB13+L13)/(F13)," - ")</f>
        <v>-0.19444444444444445</v>
      </c>
      <c r="BM13" s="1050">
        <f>SUBTOTAL(9,BM9:BM12)</f>
        <v>6.2912382998312104E-3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1494</v>
      </c>
      <c r="G16" s="650">
        <f>IF(ISNUMBER(IF(D_I="SI",Datos!I16,Datos!I16+Datos!AC16)),IF(D_I="SI",Datos!I16,Datos!I16+Datos!AC16)," - ")</f>
        <v>1494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571</v>
      </c>
      <c r="AC16" s="230">
        <f>IF(ISNUMBER(Datos!Q16),Datos!Q16," - ")</f>
        <v>23</v>
      </c>
      <c r="AD16" s="343"/>
      <c r="AE16" s="515"/>
      <c r="AF16" s="648">
        <f>IF(ISNUMBER(IF(D_I="SI",Datos!L16,Datos!L16+Datos!AF16)),IF(D_I="SI",Datos!L16,Datos!L16+Datos!AF16)," - ")</f>
        <v>1646</v>
      </c>
      <c r="AG16" s="343"/>
      <c r="AH16" s="343"/>
      <c r="AI16" s="343"/>
      <c r="AJ16" s="503"/>
      <c r="AK16" s="343"/>
      <c r="AL16" s="499"/>
      <c r="AM16" s="344">
        <f>IF(ISNUMBER(Datos!R16),Datos!R16," - ")</f>
        <v>125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174</v>
      </c>
      <c r="BD16" s="233">
        <f>IF(ISNUMBER(Datos!N16),Datos!N16," - ")</f>
        <v>281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0.78976486860304285</v>
      </c>
      <c r="BH16" s="669">
        <f>IF(ISNUMBER(((IF(D_I="SI",Datos!L16/Datos!K16,(Datos!L16+Datos!AF16)/(Datos!K16+Datos!AE16)))*11)/factor_trimestre),((IF(D_I="SI",Datos!L16/Datos!K16,(Datos!L16+Datos!AF16)/(Datos!K16+Datos!AE16)))*11)/factor_trimestre," - ")</f>
        <v>8.6479859894921205</v>
      </c>
      <c r="BI16" s="247">
        <f>IF(ISNUMBER('Resol  Asuntos'!D16/NºAsuntos!G16),'Resol  Asuntos'!D16/NºAsuntos!G16," - ")</f>
        <v>0.30472854640980734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v>
      </c>
      <c r="AC17" s="501">
        <f>IF(ISNUMBER(Datos!Q17),Datos!Q17," - ")</f>
        <v>0</v>
      </c>
      <c r="AD17" s="503"/>
      <c r="AE17" s="515"/>
      <c r="AF17" s="505">
        <f>IF(ISNUMBER(Datos!L17),Datos!L17,"-")</f>
        <v>85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1.55</v>
      </c>
      <c r="BH17" s="669">
        <f>IF(ISNUMBER(((IF(D_I="SI",Datos!L17/Datos!K17,(Datos!L17+Datos!AF17)/(Datos!K17+Datos!AE17)))*11)/factor_trimestre),((IF(D_I="SI",Datos!L17/Datos!K17,(Datos!L17+Datos!AF17)/(Datos!K17+Datos!AE17)))*11)/factor_trimestre," - ")</f>
        <v>8.2258064516129039</v>
      </c>
      <c r="BI17" s="668">
        <f>IF(ISNUMBER('Resol  Asuntos'!D17/NºAsuntos!G17),'Resol  Asuntos'!D17/NºAsuntos!G17," - ")</f>
        <v>3.2258064516129031E-2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1494</v>
      </c>
      <c r="G18" s="1044">
        <f>SUBTOTAL(9,G15:G17)</f>
        <v>1590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602</v>
      </c>
      <c r="AC18" s="1045">
        <f t="shared" si="4"/>
        <v>23</v>
      </c>
      <c r="AD18" s="1045">
        <f t="shared" si="4"/>
        <v>0</v>
      </c>
      <c r="AE18" s="1045">
        <f t="shared" si="4"/>
        <v>0</v>
      </c>
      <c r="AF18" s="1045">
        <f t="shared" si="4"/>
        <v>1731</v>
      </c>
      <c r="AG18" s="1045">
        <f t="shared" si="4"/>
        <v>0</v>
      </c>
      <c r="AH18" s="1045">
        <f t="shared" si="4"/>
        <v>0</v>
      </c>
      <c r="AI18" s="1045">
        <f t="shared" si="4"/>
        <v>0</v>
      </c>
      <c r="AJ18" s="1045">
        <f t="shared" si="4"/>
        <v>0</v>
      </c>
      <c r="AK18" s="1045">
        <f t="shared" si="4"/>
        <v>0</v>
      </c>
      <c r="AL18" s="1045">
        <f t="shared" si="4"/>
        <v>0</v>
      </c>
      <c r="AM18" s="1045">
        <f t="shared" si="4"/>
        <v>126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175</v>
      </c>
      <c r="BD18" s="1045">
        <f t="shared" si="4"/>
        <v>284</v>
      </c>
      <c r="BE18" s="1045">
        <f t="shared" si="4"/>
        <v>0</v>
      </c>
      <c r="BF18" s="1045">
        <f t="shared" si="4"/>
        <v>0</v>
      </c>
      <c r="BG18" s="1045">
        <f>IF(ISNUMBER(Datos!K18/Datos!J18),Datos!K18/Datos!J18," - ")</f>
        <v>0.81022880215343207</v>
      </c>
      <c r="BH18" s="1049">
        <f>IF(ISNUMBER(((Datos!L18/Datos!K18)*11)/factor_trimestre),((Datos!L18/Datos!K18)*11)/factor_trimestre," - ")</f>
        <v>8.6262458471760795</v>
      </c>
      <c r="BI18" s="1045">
        <f>SUBTOTAL(9,BI15:BI17)</f>
        <v>0.3369866109259364</v>
      </c>
      <c r="BJ18" s="1045">
        <f>SUBTOTAL(9,BJ15:BJ17)</f>
        <v>0</v>
      </c>
      <c r="BK18" s="1045">
        <f>SUBTOTAL(9,BK15:BK17)</f>
        <v>0</v>
      </c>
      <c r="BL18" s="1045">
        <f>IF(ISNUMBER((I18-AB18+L18)/(F18)),(I18-AB18+L18)/(F18)," - ")</f>
        <v>-0.4029451137884873</v>
      </c>
      <c r="BM18" s="1051">
        <f>IF(ISNUMBER((Datos!P18-Datos!Q18)/(Datos!R18-Datos!P18+Datos!Q18)),(Datos!P18-Datos!Q18)/(Datos!R18-Datos!P18+Datos!Q18)," - ")</f>
        <v>1.6129032258064516E-2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1530</v>
      </c>
      <c r="G19" s="966">
        <f t="shared" si="6"/>
        <v>1626</v>
      </c>
      <c r="H19" s="968">
        <f t="shared" si="6"/>
        <v>0</v>
      </c>
      <c r="I19" s="966">
        <f t="shared" si="6"/>
        <v>0</v>
      </c>
      <c r="J19" s="968">
        <f t="shared" si="6"/>
        <v>0</v>
      </c>
      <c r="K19" s="968">
        <f t="shared" si="6"/>
        <v>0</v>
      </c>
      <c r="L19" s="1027">
        <f t="shared" si="6"/>
        <v>0</v>
      </c>
      <c r="M19" s="1027">
        <f t="shared" si="6"/>
        <v>0</v>
      </c>
      <c r="N19" s="1027">
        <f t="shared" si="6"/>
        <v>70</v>
      </c>
      <c r="O19" s="1027">
        <f t="shared" si="6"/>
        <v>0</v>
      </c>
      <c r="P19" s="1027">
        <f t="shared" si="6"/>
        <v>0</v>
      </c>
      <c r="Q19" s="968">
        <f t="shared" si="6"/>
        <v>231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609</v>
      </c>
      <c r="AC19" s="967">
        <f t="shared" si="7"/>
        <v>188</v>
      </c>
      <c r="AD19" s="967">
        <f t="shared" si="7"/>
        <v>0</v>
      </c>
      <c r="AE19" s="967">
        <f t="shared" si="7"/>
        <v>0</v>
      </c>
      <c r="AF19" s="974">
        <f t="shared" si="7"/>
        <v>1762</v>
      </c>
      <c r="AG19" s="974">
        <f t="shared" si="7"/>
        <v>0</v>
      </c>
      <c r="AH19" s="974">
        <f t="shared" si="7"/>
        <v>42</v>
      </c>
      <c r="AI19" s="974">
        <f t="shared" si="7"/>
        <v>0</v>
      </c>
      <c r="AJ19" s="967">
        <f t="shared" si="7"/>
        <v>0</v>
      </c>
      <c r="AK19" s="974">
        <f t="shared" si="7"/>
        <v>0</v>
      </c>
      <c r="AL19" s="974">
        <f t="shared" si="7"/>
        <v>0</v>
      </c>
      <c r="AM19" s="974">
        <f t="shared" si="7"/>
        <v>6699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455</v>
      </c>
      <c r="BD19" s="966">
        <f t="shared" si="7"/>
        <v>530</v>
      </c>
      <c r="BE19" s="966">
        <f t="shared" si="7"/>
        <v>0</v>
      </c>
      <c r="BF19" s="976">
        <f t="shared" si="7"/>
        <v>0</v>
      </c>
      <c r="BG19" s="1061">
        <f>IF(ISNUMBER(Datos!K19/Datos!J19),Datos!K19/Datos!J19," - ")</f>
        <v>0.80116648992576878</v>
      </c>
      <c r="BH19" s="1061">
        <f>IF(ISNUMBER(((Datos!L19/Datos!K19)*11)/factor_trimestre),((Datos!L19/Datos!K19)*11)/factor_trimestre," - ")</f>
        <v>12.347452018530774</v>
      </c>
      <c r="BI19" s="959">
        <f>IF(ISNUMBER(Datos!J19/Datos!I19),Datos!J19/Datos!I19," - ")</f>
        <v>0.32277939414684237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-0.39803921568627448</v>
      </c>
      <c r="BM19" s="1035">
        <f>IF(ISNUMBER((Datos!P19-Datos!Q19+R19)/(Datos!R19-Datos!P19+Datos!Q19-R19)),(Datos!P19-Datos!Q19+R19)/(Datos!R19-Datos!P19+Datos!Q19-R19)," - ")</f>
        <v>6.4603365384615381E-3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841.77669247847439</v>
      </c>
      <c r="G21" s="600">
        <f>IF(ISNUMBER(STDEV(G8:G18)),STDEV(G8:G18),"-")</f>
        <v>814.99128829699771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313.36847320686235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123.61013982140247</v>
      </c>
      <c r="BD21" s="599"/>
      <c r="BE21" s="599">
        <f>IF(ISNUMBER(STDEV(BE8:BE18)),STDEV(BE8:BE18),"-")</f>
        <v>0</v>
      </c>
      <c r="BF21" s="604">
        <f>IF(ISNUMBER(STDEV(BF8:BF18)),STDEV(BF8:BF18),"-")</f>
        <v>0</v>
      </c>
      <c r="BG21" s="914">
        <f>IF(ISNUMBER(STDEV(BG8:BG18)),STDEV(BG8:BG18),"-")</f>
        <v>1.0838155888002659</v>
      </c>
      <c r="BH21" s="918">
        <f>IF(ISNUMBER(STDEV(BH8:BH18)),STDEV(BH8:BH18),"-")</f>
        <v>3.0571430625204528</v>
      </c>
      <c r="BI21" s="253">
        <f>IF(ISNUMBER(STDEV(BI8:BI18)),STDEV(BI8:BI18),"-")</f>
        <v>0.14014706235360574</v>
      </c>
      <c r="BJ21" s="234" t="str">
        <f>IF(ISNUMBER(BL21/BM21),BL21/BM21," - ")</f>
        <v xml:space="preserve"> - </v>
      </c>
      <c r="BK21" s="626"/>
      <c r="BL21" s="607">
        <f>IF(ISNUMBER(STDEV(BL8:BL18)),STDEV(BL8:BL18),"-")</f>
        <v>0.14743223717510684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sWJaUKfYB7Nih/h72mUufK/2JvnpoO2fNok+F/cRf8ZcnAMu+HItolnEkQ8KRIGEoSL6b/lXsxSoQMyn7hZtg==" saltValue="Z1cOVHwmcKkZmxIqW/IW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NOVELDA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1</v>
      </c>
      <c r="AA10" s="505">
        <f>IF(ISNUMBER(Datos!L10),Datos!L10,"-")</f>
        <v>31</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13.285714285714286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164</v>
      </c>
      <c r="AA12" s="505" t="str">
        <f>IF(ISNUMBER(IF(J_V="SI",Datos!L12,Datos!L12+Datos!AB12)-IF(Monitorios="SI",Datos!CD12,0)),
                          IF(J_V="SI",Datos!L12,Datos!L12+Datos!AB12)-IF(Monitorios="SI",Datos!CD12,0),
                          " - ")</f>
        <v xml:space="preserve"> - </v>
      </c>
      <c r="AB12" s="503"/>
      <c r="AC12" s="503"/>
      <c r="AD12" s="516"/>
      <c r="AE12" s="516">
        <f>IF(ISNUMBER(Datos!R12),Datos!R12," - ")</f>
        <v>6558</v>
      </c>
      <c r="AF12" s="619" t="str">
        <f>IF(ISNUMBER(Datos!BV12),Datos!BV12," - ")</f>
        <v xml:space="preserve"> - </v>
      </c>
      <c r="AG12" s="506" t="str">
        <f>IF(ISNUMBER(Datos!DV12),Datos!DV12," - ")</f>
        <v xml:space="preserve"> - </v>
      </c>
      <c r="AH12" s="507"/>
      <c r="AI12" s="508"/>
      <c r="AJ12" s="506">
        <f>IF(ISNUMBER(Datos!M12),Datos!M12," - ")</f>
        <v>274</v>
      </c>
      <c r="AK12" s="619">
        <f>IF(ISNUMBER(Datos!N12),Datos!N12," - ")</f>
        <v>246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13.914432989690724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6.2912382998312104E-3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206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165</v>
      </c>
      <c r="AA13" s="1046">
        <f t="shared" si="2"/>
        <v>31</v>
      </c>
      <c r="AB13" s="1046">
        <f t="shared" si="2"/>
        <v>0</v>
      </c>
      <c r="AC13" s="1046">
        <f t="shared" si="2"/>
        <v>0</v>
      </c>
      <c r="AD13" s="1046">
        <f t="shared" si="2"/>
        <v>0</v>
      </c>
      <c r="AE13" s="1046">
        <f t="shared" si="2"/>
        <v>6573</v>
      </c>
      <c r="AF13" s="1054">
        <f t="shared" si="2"/>
        <v>0</v>
      </c>
      <c r="AG13" s="1054">
        <f t="shared" si="2"/>
        <v>0</v>
      </c>
      <c r="AH13" s="1054">
        <f t="shared" si="2"/>
        <v>0</v>
      </c>
      <c r="AI13" s="1054">
        <f t="shared" si="2"/>
        <v>0</v>
      </c>
      <c r="AJ13" s="1054">
        <f t="shared" si="2"/>
        <v>280</v>
      </c>
      <c r="AK13" s="1054">
        <f t="shared" si="2"/>
        <v>246</v>
      </c>
      <c r="AL13" s="1054">
        <f t="shared" si="2"/>
        <v>0</v>
      </c>
      <c r="AM13" s="1054">
        <f t="shared" si="2"/>
        <v>0</v>
      </c>
      <c r="AN13" s="1054">
        <f t="shared" si="2"/>
        <v>0</v>
      </c>
      <c r="AO13" s="1050">
        <f>IF(ISNUMBER(((NºAsuntos!I13/NºAsuntos!G13)*11)/factor_trimestre),((NºAsuntos!I13/NºAsuntos!G13)*11)/factor_trimestre," - ")</f>
        <v>13.909928352098262</v>
      </c>
      <c r="AP13" s="1056" t="str">
        <f>IF(ISNUMBER(Datos!CI13/Datos!CJ13),Datos!CI13/Datos!CJ13," - ")</f>
        <v xml:space="preserve"> - </v>
      </c>
      <c r="AQ13" s="1074">
        <f t="shared" ref="AQ13:AV13" si="3">SUBTOTAL(9,AQ9:AQ12)</f>
        <v>0</v>
      </c>
      <c r="AR13" s="1074">
        <f t="shared" si="3"/>
        <v>6.2912382998312104E-3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1494</v>
      </c>
      <c r="G16" s="506">
        <f>IF(ISNUMBER(IF(D_I="SI",Datos!I16,Datos!I16+Datos!AC16)),IF(D_I="SI",Datos!I16,Datos!I16+Datos!AC16)," - ")</f>
        <v>1494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571</v>
      </c>
      <c r="Z16" s="703">
        <f>IF(ISNUMBER(Datos!Q16),Datos!Q16," - ")</f>
        <v>23</v>
      </c>
      <c r="AA16" s="505">
        <f>IF(ISNUMBER(IF(D_I="SI",Datos!L16,Datos!L16+Datos!AF16)),IF(D_I="SI",Datos!L16,Datos!L16+Datos!AF16)," - ")</f>
        <v>1646</v>
      </c>
      <c r="AB16" s="503"/>
      <c r="AC16" s="503"/>
      <c r="AD16" s="516"/>
      <c r="AE16" s="516">
        <f>IF(ISNUMBER(Datos!R16),Datos!R16," - ")</f>
        <v>125</v>
      </c>
      <c r="AF16" s="619" t="str">
        <f>IF(ISNUMBER(Datos!BV16),Datos!BV16," - ")</f>
        <v xml:space="preserve"> - </v>
      </c>
      <c r="AG16" s="506"/>
      <c r="AH16" s="507"/>
      <c r="AI16" s="508"/>
      <c r="AJ16" s="506">
        <f>IF(ISNUMBER(Datos!M16),Datos!M16," - ")</f>
        <v>174</v>
      </c>
      <c r="AK16" s="619">
        <f>IF(ISNUMBER(Datos!N16),Datos!N16," - ")</f>
        <v>281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8.6479859894921205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v>
      </c>
      <c r="Z17" s="703">
        <f>IF(ISNUMBER(Datos!Q17),Datos!Q17," - ")</f>
        <v>0</v>
      </c>
      <c r="AA17" s="505">
        <f>IF(ISNUMBER(Datos!L17),Datos!L17,"-")</f>
        <v>85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8.2258064516129039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1494</v>
      </c>
      <c r="G18" s="1044">
        <f>SUBTOTAL(9,G15:G17)</f>
        <v>1590</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602</v>
      </c>
      <c r="Z18" s="1078">
        <f t="shared" si="5"/>
        <v>23</v>
      </c>
      <c r="AA18" s="1078">
        <f t="shared" si="5"/>
        <v>1731</v>
      </c>
      <c r="AB18" s="1078">
        <f t="shared" si="5"/>
        <v>0</v>
      </c>
      <c r="AC18" s="1078">
        <f t="shared" si="5"/>
        <v>0</v>
      </c>
      <c r="AD18" s="1078">
        <f t="shared" si="5"/>
        <v>0</v>
      </c>
      <c r="AE18" s="1078">
        <f t="shared" si="5"/>
        <v>126</v>
      </c>
      <c r="AF18" s="1078">
        <f t="shared" si="5"/>
        <v>0</v>
      </c>
      <c r="AG18" s="1078">
        <f t="shared" si="5"/>
        <v>0</v>
      </c>
      <c r="AH18" s="1078">
        <f t="shared" si="5"/>
        <v>0</v>
      </c>
      <c r="AI18" s="1078">
        <f t="shared" si="5"/>
        <v>0</v>
      </c>
      <c r="AJ18" s="1078">
        <f t="shared" si="5"/>
        <v>175</v>
      </c>
      <c r="AK18" s="1078">
        <f t="shared" si="5"/>
        <v>284</v>
      </c>
      <c r="AL18" s="1078">
        <f t="shared" si="5"/>
        <v>0</v>
      </c>
      <c r="AM18" s="1078">
        <f t="shared" si="5"/>
        <v>0</v>
      </c>
      <c r="AN18" s="1078">
        <f t="shared" si="5"/>
        <v>0</v>
      </c>
      <c r="AO18" s="1080">
        <f>IF(ISNUMBER(((NºAsuntos!I18/NºAsuntos!G18)*11)/factor_trimestre),((NºAsuntos!I18/NºAsuntos!G18)*11)/factor_trimestre," - ")</f>
        <v>8.6262458471760795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1530</v>
      </c>
      <c r="G19" s="966">
        <f t="shared" si="7"/>
        <v>1626</v>
      </c>
      <c r="H19" s="967">
        <f t="shared" si="7"/>
        <v>0</v>
      </c>
      <c r="I19" s="966">
        <f t="shared" si="7"/>
        <v>0</v>
      </c>
      <c r="J19" s="968">
        <f t="shared" si="7"/>
        <v>0</v>
      </c>
      <c r="K19" s="966">
        <f t="shared" si="7"/>
        <v>0</v>
      </c>
      <c r="L19" s="969">
        <f t="shared" si="7"/>
        <v>0</v>
      </c>
      <c r="M19" s="966">
        <f t="shared" si="7"/>
        <v>0</v>
      </c>
      <c r="N19" s="967">
        <f t="shared" si="7"/>
        <v>231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609</v>
      </c>
      <c r="Z19" s="973">
        <f t="shared" si="8"/>
        <v>188</v>
      </c>
      <c r="AA19" s="974">
        <f t="shared" si="8"/>
        <v>1762</v>
      </c>
      <c r="AB19" s="974">
        <f t="shared" si="8"/>
        <v>0</v>
      </c>
      <c r="AC19" s="974">
        <f t="shared" si="8"/>
        <v>0</v>
      </c>
      <c r="AD19" s="975">
        <f t="shared" si="8"/>
        <v>0</v>
      </c>
      <c r="AE19" s="975">
        <f t="shared" si="8"/>
        <v>6699</v>
      </c>
      <c r="AF19" s="976">
        <f t="shared" si="8"/>
        <v>0</v>
      </c>
      <c r="AG19" s="977">
        <f t="shared" si="8"/>
        <v>0</v>
      </c>
      <c r="AH19" s="978">
        <f t="shared" si="8"/>
        <v>0</v>
      </c>
      <c r="AI19" s="976">
        <f t="shared" si="8"/>
        <v>0</v>
      </c>
      <c r="AJ19" s="966">
        <f t="shared" si="8"/>
        <v>455</v>
      </c>
      <c r="AK19" s="966">
        <f t="shared" si="8"/>
        <v>530</v>
      </c>
      <c r="AL19" s="966">
        <f t="shared" si="8"/>
        <v>0</v>
      </c>
      <c r="AM19" s="979">
        <f t="shared" si="8"/>
        <v>0</v>
      </c>
      <c r="AN19" s="969">
        <f>IF(ISNUMBER(Datos!K19/Datos!J19),Datos!K19/Datos!J19," - ")</f>
        <v>0.80116648992576878</v>
      </c>
      <c r="AO19" s="969">
        <f>IF(ISNUMBER(FIND("06",Criterios!A8,1)),(IF(ISNUMBER(((Datos!R19/Datos!Q19)*11)/factor_trimestre),((Datos!R19/Datos!Q19)*11)/factor_trimestre," - ")),(IF(ISNUMBER(((Datos!L19/Datos!K19)*11)/factor_trimestre),((Datos!L19/Datos!K19)*11)/factor_trimestre," - ")))</f>
        <v>12.347452018530774</v>
      </c>
      <c r="AP19" s="980" t="str">
        <f>IF(ISNUMBER(Datos!CI19/Datos!CJ19),Datos!CI19/Datos!CJ19," - ")</f>
        <v xml:space="preserve"> - </v>
      </c>
      <c r="AQ19" s="980">
        <f>IF(OR(ISNUMBER(FIND("01",Criterios!A8,1)),ISNUMBER(FIND("02",Criterios!A8,1)),ISNUMBER(FIND("03",Criterios!A8,1)),ISNUMBER(FIND("04",Criterios!A8,1))),(J19-Y19+K19)/(F19-K19),(I19-Y19+K19)/(F19-K19))</f>
        <v>-0.39803921568627448</v>
      </c>
      <c r="AR19" s="980">
        <f>IF(ISNUMBER((Datos!P19-Datos!Q19+O19)/(Datos!R19-Datos!P19+Datos!Q19-O19)),(Datos!P19-Datos!Q19+O19)/(Datos!R19-Datos!P19+Datos!Q19-O19)," - ")</f>
        <v>6.4603365384615381E-3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841.77669247847439</v>
      </c>
      <c r="G21" s="600">
        <f>IF(ISNUMBER(STDEV(G8:G18)),STDEV(G8:G18),"-")</f>
        <v>814.99128829699771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123.61013982140247</v>
      </c>
      <c r="AK21" s="256"/>
      <c r="AL21" s="256">
        <f>IF(ISNUMBER(STDEV(AL8:AL18)),STDEV(AL8:AL18),"-")</f>
        <v>0</v>
      </c>
      <c r="AM21" s="258">
        <f>IF(ISNUMBER(STDEV(AM8:AM18)),STDEV(AM8:AM18),"-")</f>
        <v>0</v>
      </c>
      <c r="AN21" s="586">
        <f>IF(ISNUMBER(STDEV(AN8:AN18)),STDEV(AN8:AN18),"-")</f>
        <v>0</v>
      </c>
      <c r="AO21" s="587">
        <f>IF(ISNUMBER(STDEV(AO8:AO18)),STDEV(AO8:AO18),"-")</f>
        <v>2.8631060461513602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afPGs7LQu2POnJG23YMXGboqUkGlKmE+NdGdsuTBvtFNCvix+nMIHKzkv5N6hW8CeVO+Ld/vdRbwtaDm2MZtg==" saltValue="wMVfkF5Cypm4C1kExAO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Ifq1rQCtuTn6ivxvH1Rtx5L9En7UOE6n5APIBRiBzxrmcHm9u1gyQ+dTSz2D+pkAGTXdnk4krthuD3Dh/kvDg==" saltValue="6f25gBxdr+4cAh2uBidr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ZWihLnAikLnoQEdsjaW6uSk4w9ShVGJTnMhIqmeptBiLI8PBT1y3t7PoJ3aj2zO1mJi3yNMIvdXhpbGkat5lA==" saltValue="Cf0Aqyk/wxGPZe52a0oY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NOVELDA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0.2865916069600819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0.20265086871262367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PuLISilJCl7nqAHwM/vl+/7XZeSOii5JdcErcxSVxiRoPvMDqjgReQIosTAgWE8x411/w3IYbpGOIpTLqO0Q==" saltValue="JQORiRmBWJs+7eHjCHSB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ksCL4j6J0260Ve0n1DEmy4SP7rygeboWqitpkj7Xh3lw8xGve3gVtP2f4q4a8+Du02rSCEzyceK9kT+4FYXyQ==" saltValue="XUheQ/h+aZJdjbkkoe9Q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NOVELDA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2</v>
      </c>
      <c r="F10" s="415">
        <f>IF(ISNUMBER(E10/B10),E10/B10," - ")</f>
        <v>2</v>
      </c>
      <c r="G10" s="414">
        <f>IF(ISNUMBER(Datos!K10),Datos!K10," - ")</f>
        <v>7</v>
      </c>
      <c r="H10" s="415">
        <f>IF(ISNUMBER(G10/B10),G10/B10," - ")</f>
        <v>7</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4251</v>
      </c>
      <c r="D12" s="415">
        <f>IF(ISNUMBER(C12/Datos!BH12),C12/Datos!BH12," - ")</f>
        <v>1062.75</v>
      </c>
      <c r="E12" s="414">
        <f>IF(ISNUMBER(IF(J_V="SI",Datos!J12,Datos!J12+Datos!Z12)),IF(J_V="SI",Datos!J12,Datos!J12+Datos!Z12)," - ")</f>
        <v>1211</v>
      </c>
      <c r="F12" s="415">
        <f>IF(ISNUMBER(E12/B12),E12/B12," - ")</f>
        <v>302.75</v>
      </c>
      <c r="G12" s="414">
        <f>IF(ISNUMBER(IF(J_V="SI",Datos!K12,Datos!K12+Datos!AA12)),IF(J_V="SI",Datos!K12,Datos!K12+Datos!AA12)," - ")</f>
        <v>970</v>
      </c>
      <c r="H12" s="415">
        <f>IF(ISNUMBER(G12/B12),G12/B12," - ")</f>
        <v>242.5</v>
      </c>
      <c r="I12" s="414">
        <f>IF(ISNUMBER(IF(J_V="SI",Datos!L12,Datos!L12+Datos!AB12)),IF(J_V="SI",Datos!L12,Datos!L12+Datos!AB12)," - ")</f>
        <v>4499</v>
      </c>
      <c r="J12" s="415">
        <f>IF(ISNUMBER(I12/B12),I12/B12," - ")</f>
        <v>1124.75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4287</v>
      </c>
      <c r="D13" s="996" t="str">
        <f>IF(ISNUMBER(C13/Datos!BI13),C13/Datos!BI13," - ")</f>
        <v xml:space="preserve"> - </v>
      </c>
      <c r="E13" s="995">
        <f>SUBTOTAL(9,E8:E12)</f>
        <v>1213</v>
      </c>
      <c r="F13" s="996">
        <f>IF(ISNUMBER(E13/B13),E13/B13," - ")</f>
        <v>303.25</v>
      </c>
      <c r="G13" s="995">
        <f>SUBTOTAL(9,G8:G12)</f>
        <v>977</v>
      </c>
      <c r="H13" s="996">
        <f>IF(ISNUMBER(G13/B13),G13/B13," - ")</f>
        <v>244.25</v>
      </c>
      <c r="I13" s="995">
        <f>SUBTOTAL(9,I8:I12)</f>
        <v>4530</v>
      </c>
      <c r="J13" s="996">
        <f>IF(ISNUMBER(I13/B13),I13/B13," - ")</f>
        <v>1132.5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1494</v>
      </c>
      <c r="D16" s="415">
        <f>IF(ISNUMBER(C16/Datos!BH16),C16/Datos!BH16," - ")</f>
        <v>373.5</v>
      </c>
      <c r="E16" s="414">
        <f>IF(ISNUMBER(IF(D_I="SI",Datos!J16,Datos!J16+Datos!AD16)),IF(D_I="SI",Datos!J16,Datos!J16+Datos!AD16)," - ")</f>
        <v>723</v>
      </c>
      <c r="F16" s="415">
        <f>IF(ISNUMBER(E16/B16),E16/B16," - ")</f>
        <v>180.75</v>
      </c>
      <c r="G16" s="414">
        <f>IF(ISNUMBER(IF(D_I="SI",Datos!K16,Datos!K16+Datos!AE16)),IF(D_I="SI",Datos!K16,Datos!K16+Datos!AE16)," - ")</f>
        <v>571</v>
      </c>
      <c r="H16" s="415">
        <f>IF(ISNUMBER(G16/B16),G16/B16," - ")</f>
        <v>142.75</v>
      </c>
      <c r="I16" s="414">
        <f>IF(ISNUMBER(IF(D_I="SI",Datos!L16,Datos!L16+Datos!AF16)),IF(D_I="SI",Datos!L16,Datos!L16+Datos!AF16)," - ")</f>
        <v>1646</v>
      </c>
      <c r="J16" s="415">
        <f>IF(ISNUMBER(I16/B16),I16/B16," - ")</f>
        <v>411.5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96</v>
      </c>
      <c r="D17" s="415">
        <f>IF(ISNUMBER(C17/Datos!BH17),C17/Datos!BH17," - ")</f>
        <v>96</v>
      </c>
      <c r="E17" s="414">
        <f>IF(ISNUMBER(IF(D_I="SI",Datos!J17,Datos!J17+Datos!AD17)),IF(D_I="SI",Datos!J17,Datos!J17+Datos!AD17)," - ")</f>
        <v>20</v>
      </c>
      <c r="F17" s="415">
        <f>IF(ISNUMBER(E17/B17),E17/B17," - ")</f>
        <v>20</v>
      </c>
      <c r="G17" s="414">
        <f>IF(ISNUMBER(IF(D_I="SI",Datos!K17,Datos!K17+Datos!AE17)),IF(D_I="SI",Datos!K17,Datos!K17+Datos!AE17)," - ")</f>
        <v>31</v>
      </c>
      <c r="H17" s="415">
        <f>IF(ISNUMBER(G17/B17),G17/B17," - ")</f>
        <v>31</v>
      </c>
      <c r="I17" s="414">
        <f>IF(ISNUMBER(IF(D_I="SI",Datos!L17,Datos!L17+Datos!AF17)),IF(D_I="SI",Datos!L17,Datos!L17+Datos!AF17)," - ")</f>
        <v>85</v>
      </c>
      <c r="J17" s="415">
        <f>IF(ISNUMBER(I17/B17),I17/B17," - ")</f>
        <v>85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1590</v>
      </c>
      <c r="D18" s="996" t="str">
        <f>IF(ISNUMBER(C18/Datos!BI18),C18/Datos!BI18," - ")</f>
        <v xml:space="preserve"> - </v>
      </c>
      <c r="E18" s="995">
        <f>SUBTOTAL(9,E14:E17)</f>
        <v>743</v>
      </c>
      <c r="F18" s="996">
        <f>IF(ISNUMBER(E18/B18),E18/B18," - ")</f>
        <v>185.75</v>
      </c>
      <c r="G18" s="995">
        <f>SUBTOTAL(9,G14:G17)</f>
        <v>602</v>
      </c>
      <c r="H18" s="996">
        <f>IF(ISNUMBER(G18/B18),G18/B18," - ")</f>
        <v>150.5</v>
      </c>
      <c r="I18" s="995">
        <f>SUBTOTAL(9,I14:I17)</f>
        <v>1731</v>
      </c>
      <c r="J18" s="996">
        <f>IF(ISNUMBER(I18/B18),I18/B18," - ")</f>
        <v>432.75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5877</v>
      </c>
      <c r="D19" s="941" t="str">
        <f>IF(ISNUMBER(C19/Datos!BI19),C19/Datos!BI19," - ")</f>
        <v xml:space="preserve"> - </v>
      </c>
      <c r="E19" s="940">
        <f>SUBTOTAL(9,E9:E18)</f>
        <v>1956</v>
      </c>
      <c r="F19" s="941">
        <f>IF(ISNUMBER(E19/B19),E19/B19," - ")</f>
        <v>489</v>
      </c>
      <c r="G19" s="940">
        <f>SUBTOTAL(9,G9:G18)</f>
        <v>1579</v>
      </c>
      <c r="H19" s="941">
        <f>IF(ISNUMBER(G19/B19),G19/B19," - ")</f>
        <v>394.75</v>
      </c>
      <c r="I19" s="940">
        <f>SUBTOTAL(9,I9:I18)</f>
        <v>6261</v>
      </c>
      <c r="J19" s="941">
        <f>IF(ISNUMBER(I19/B19),I19/B19," - ")</f>
        <v>1565.25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ro8LKXu2uqNUVUBaPshCGAZO8XeUTDipV+A84NuTrCNmQrJRVDH+jkxbMxQpjFMFGuJmeVLNALYDVxJMjzIOw==" saltValue="nVE0TbSyqHGZXG5VHZRy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NOVELDA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13.285714285714286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6558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274</v>
      </c>
      <c r="AM12" s="810">
        <f>IF(ISNUMBER(Datos!N12+DatosP!N16),Datos!N12+DatosP!N16," - ")</f>
        <v>246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13.914432989690724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6.2912382998312104E-3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206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164</v>
      </c>
      <c r="AE13" s="1085">
        <f t="shared" si="1"/>
        <v>0</v>
      </c>
      <c r="AF13" s="1085">
        <f t="shared" si="1"/>
        <v>31</v>
      </c>
      <c r="AG13" s="1085">
        <f t="shared" si="1"/>
        <v>0</v>
      </c>
      <c r="AH13" s="1085">
        <f t="shared" si="1"/>
        <v>6558</v>
      </c>
      <c r="AI13" s="1085">
        <f t="shared" si="1"/>
        <v>0</v>
      </c>
      <c r="AJ13" s="1085">
        <f t="shared" si="1"/>
        <v>0</v>
      </c>
      <c r="AK13" s="1085">
        <f t="shared" si="1"/>
        <v>0</v>
      </c>
      <c r="AL13" s="1085">
        <f t="shared" si="1"/>
        <v>280</v>
      </c>
      <c r="AM13" s="1085">
        <f t="shared" si="1"/>
        <v>246</v>
      </c>
      <c r="AN13" s="1085">
        <f t="shared" si="1"/>
        <v>0</v>
      </c>
      <c r="AO13" s="1085">
        <f t="shared" si="1"/>
        <v>0</v>
      </c>
      <c r="AP13" s="1090">
        <f>IF(ISNUMBER(((Datos!L13/Datos!K13)*11)/factor_trimestre),((Datos!L13/Datos!K13)*11)/factor_trimestre," - ")</f>
        <v>14.811881188118813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-0.19444444444444445</v>
      </c>
      <c r="AU13" s="1085" t="str">
        <f>IF(ISNUMBER((DatosP!#REF!-DatosP!#REF!+DatosP!#REF!)/(DatosP!#REF!+DatosP!#REF!-DatosP!#REF!-DatosP!#REF!)),(DatosP!#REF!-DatosP!#REF!+DatosP!#REF!)/(DatosP!#REF!+DatosP!#REF!-DatosP!#REF!-DatosP!#REF!)," - ")</f>
        <v xml:space="preserve"> - </v>
      </c>
      <c r="AV13" s="1091">
        <f>SUBTOTAL(9,AV9:AV12)</f>
        <v>6.2912382998312104E-3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8.6262458471760795</v>
      </c>
      <c r="AQ18" s="1090">
        <f>IF(ISNUMBER(((Datos!M18/Datos!L18)*11)/factor_trimestre),((Datos!M18/Datos!L18)*11)/factor_trimestre," - ")</f>
        <v>0.30329289428076261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1.6129032258064516E-2</v>
      </c>
      <c r="AW18" s="1092">
        <f>IF(ISNUMBER((Datos!Q18-Datos!R18)/(Datos!S18-Datos!Q18+Datos!R18)),(Datos!Q18-Datos!R18)/(Datos!S18-Datos!Q18+Datos!R18)," - ")</f>
        <v>-8.0721003134796243E-2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206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164</v>
      </c>
      <c r="AE19" s="1103">
        <f t="shared" si="5"/>
        <v>0</v>
      </c>
      <c r="AF19" s="1104">
        <f t="shared" si="5"/>
        <v>31</v>
      </c>
      <c r="AG19" s="1104">
        <f t="shared" si="5"/>
        <v>0</v>
      </c>
      <c r="AH19" s="1104">
        <f t="shared" si="5"/>
        <v>6558</v>
      </c>
      <c r="AI19" s="1104">
        <f t="shared" si="5"/>
        <v>0</v>
      </c>
      <c r="AJ19" s="1105">
        <f t="shared" si="5"/>
        <v>0</v>
      </c>
      <c r="AK19" s="1105">
        <f t="shared" si="5"/>
        <v>0</v>
      </c>
      <c r="AL19" s="1097">
        <f t="shared" si="5"/>
        <v>280</v>
      </c>
      <c r="AM19" s="1097">
        <f t="shared" si="5"/>
        <v>246</v>
      </c>
      <c r="AN19" s="1097">
        <f t="shared" si="5"/>
        <v>0</v>
      </c>
      <c r="AO19" s="1097">
        <f t="shared" si="5"/>
        <v>0</v>
      </c>
      <c r="AP19" s="1097">
        <f>IF(ISNUMBER(((Datos!L19/Datos!K19)*11)/factor_trimestre),((Datos!L19/Datos!K19)*11)/factor_trimestre," - ")</f>
        <v>12.347452018530774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-0.19444444444444445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6.4603365384615381E-3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158.23189733215403</v>
      </c>
      <c r="AM21" s="869"/>
      <c r="AN21" s="869">
        <f>IF(ISNUMBER(STDEV(AN8:AN18)),STDEV(AN8:AN18),"-")</f>
        <v>0</v>
      </c>
      <c r="AO21" s="875">
        <f>IF(ISNUMBER(STDEV(AO8:AO18)),STDEV(AO8:AO18),"-")</f>
        <v>0</v>
      </c>
      <c r="AP21" s="922">
        <f>IF(ISNUMBER(STDEV(AP8:AP18)),STDEV(AP8:AP18),"-")</f>
        <v>2.7608504101498856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CG0bLBf5gcHoYG7tWKtsT1FYy+YEdPlO1K7pI5ETeEhLCHH+A51HTaOIeWimC/HrZRcRB75A0Go3CIam6a6NQ==" saltValue="q0w3r523EKha8F3owBUc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NOVELDA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uEFYTIZMaxtE33ubnVv1J9jm4ZkDQxF+NoclMSBDr0525/uzPxTFbuZRlZ8AXgnjfhyGEgrvTQ/NLz8Hzs82g==" saltValue="njUkmI8dLX5u4eFn0LEc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NOVELDA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274</v>
      </c>
      <c r="E12" s="415">
        <f t="shared" si="0"/>
        <v>68.5</v>
      </c>
      <c r="F12" s="414">
        <f>IF(ISNUMBER(Datos!N12),Datos!N12," - ")</f>
        <v>246</v>
      </c>
      <c r="G12" s="415">
        <f t="shared" si="1"/>
        <v>61.5</v>
      </c>
      <c r="H12" s="414">
        <f>IF(ISNUMBER(Datos!O12),Datos!O12," - ")</f>
        <v>403</v>
      </c>
      <c r="I12" s="415">
        <f t="shared" si="2"/>
        <v>100.75</v>
      </c>
    </row>
    <row r="13" spans="1:9" ht="14.25" thickTop="1" thickBot="1">
      <c r="A13" s="994" t="str">
        <f>Datos!A13</f>
        <v>TOTAL</v>
      </c>
      <c r="B13" s="995">
        <f>Datos!AO13</f>
        <v>5</v>
      </c>
      <c r="C13" s="997">
        <f>Datos!AR13</f>
        <v>4</v>
      </c>
      <c r="D13" s="995">
        <f>SUBTOTAL(9,D9:D12)</f>
        <v>280</v>
      </c>
      <c r="E13" s="996">
        <f t="shared" si="0"/>
        <v>56</v>
      </c>
      <c r="F13" s="995">
        <f>SUBTOTAL(9,F9:F12)</f>
        <v>246</v>
      </c>
      <c r="G13" s="996">
        <f t="shared" si="1"/>
        <v>49.2</v>
      </c>
      <c r="H13" s="995">
        <f>SUBTOTAL(9,H9:H12)</f>
        <v>403</v>
      </c>
      <c r="I13" s="996">
        <f>IF(ISNUMBER(H13/B13),H13/B13," - ")</f>
        <v>80.599999999999994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174</v>
      </c>
      <c r="E16" s="415">
        <f t="shared" si="3"/>
        <v>43.5</v>
      </c>
      <c r="F16" s="414">
        <f>IF(ISNUMBER(Datos!N16),Datos!N16," - ")</f>
        <v>281</v>
      </c>
      <c r="G16" s="415">
        <f t="shared" si="4"/>
        <v>70.25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5</v>
      </c>
      <c r="C18" s="997">
        <f>Datos!AR18</f>
        <v>4</v>
      </c>
      <c r="D18" s="995">
        <f>SUBTOTAL(9,D15:D17)</f>
        <v>175</v>
      </c>
      <c r="E18" s="996">
        <f t="shared" si="3"/>
        <v>35</v>
      </c>
      <c r="F18" s="995">
        <f>SUBTOTAL(9,F15:F17)</f>
        <v>284</v>
      </c>
      <c r="G18" s="996">
        <f t="shared" si="4"/>
        <v>56.8</v>
      </c>
      <c r="H18" s="995">
        <f>SUBTOTAL(9,H15:H17)</f>
        <v>0</v>
      </c>
      <c r="I18" s="996">
        <f>IF(ISNUMBER(H18/B18),H18/B18," - ")</f>
        <v>0</v>
      </c>
    </row>
    <row r="19" spans="1:9" ht="14.25" thickTop="1" thickBot="1">
      <c r="A19" s="939" t="str">
        <f>Datos!A19</f>
        <v>TOTAL JURISDICCIONES</v>
      </c>
      <c r="B19" s="940">
        <f>Datos!AP19</f>
        <v>4</v>
      </c>
      <c r="C19" s="940">
        <f>Datos!AR19</f>
        <v>4</v>
      </c>
      <c r="D19" s="940">
        <f>SUBTOTAL(9,D8:D18)</f>
        <v>455</v>
      </c>
      <c r="E19" s="941">
        <f>IF(ISNUMBER(D19/B19),D19/B19," - ")</f>
        <v>113.75</v>
      </c>
      <c r="F19" s="940">
        <f>SUBTOTAL(9,F8:F18)</f>
        <v>530</v>
      </c>
      <c r="G19" s="941">
        <f>IF(ISNUMBER(F19/B19),F19/B19," - ")</f>
        <v>132.5</v>
      </c>
      <c r="H19" s="940">
        <f>SUBTOTAL(9,H8:H18)</f>
        <v>403</v>
      </c>
      <c r="I19" s="941">
        <f>IF(ISNUMBER(H19/B19),H19/B19," - ")</f>
        <v>100.75</v>
      </c>
    </row>
    <row r="22" spans="1:9">
      <c r="A22" s="402" t="str">
        <f>Criterios!A4</f>
        <v>Fecha Informe: 06 oct. 2023</v>
      </c>
    </row>
    <row r="27" spans="1:9">
      <c r="A27" s="425"/>
    </row>
  </sheetData>
  <sheetProtection algorithmName="SHA-512" hashValue="4ayquW2d8zSQlJ612DbnVD77+r/NXeuE6ZU438FRFnpeoCBD7kYXlFMlY+r35/Pt0LLwZfuzZMzq+FgPI3TfoA==" saltValue="ygOukwr93Fb4qpFMm54i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NOVELDA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205</v>
      </c>
      <c r="C12" s="450">
        <f>IF(ISNUMBER(Datos!Q12),Datos!Q12," - ")</f>
        <v>164</v>
      </c>
      <c r="D12" s="419">
        <f>IF(ISNUMBER(Datos!R12),Datos!R12," - ")</f>
        <v>6558</v>
      </c>
    </row>
    <row r="13" spans="1:4" ht="14.25" thickTop="1" thickBot="1">
      <c r="A13" s="994" t="str">
        <f>Datos!A13</f>
        <v>TOTAL</v>
      </c>
      <c r="B13" s="995">
        <f>SUBTOTAL(9,B9:B12)</f>
        <v>206</v>
      </c>
      <c r="C13" s="999">
        <f>SUBTOTAL(9,C9:C12)</f>
        <v>165</v>
      </c>
      <c r="D13" s="997">
        <f>SUBTOTAL(9,D9:D12)</f>
        <v>6573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23</v>
      </c>
      <c r="D16" s="419">
        <f>IF(ISNUMBER(Datos!R16),Datos!R16," - ")</f>
        <v>125</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25</v>
      </c>
      <c r="C18" s="999">
        <f>SUBTOTAL(9,C15:C17)</f>
        <v>23</v>
      </c>
      <c r="D18" s="997">
        <f>SUBTOTAL(9,D15:D17)</f>
        <v>126</v>
      </c>
    </row>
    <row r="19" spans="1:4" ht="16.5" customHeight="1" thickTop="1" thickBot="1">
      <c r="A19" s="939" t="str">
        <f>Datos!A19</f>
        <v>TOTAL JURISDICCIONES</v>
      </c>
      <c r="B19" s="944">
        <f>SUBTOTAL(9,B8:B18)</f>
        <v>231</v>
      </c>
      <c r="C19" s="945">
        <f>SUBTOTAL(9,C8:C18)</f>
        <v>188</v>
      </c>
      <c r="D19" s="946">
        <f>SUBTOTAL(9,D8:D18)</f>
        <v>6699</v>
      </c>
    </row>
    <row r="20" spans="1:4" ht="7.5" customHeight="1"/>
    <row r="21" spans="1:4" ht="6" customHeight="1"/>
    <row r="22" spans="1:4">
      <c r="A22" s="402" t="str">
        <f>Criterios!A4</f>
        <v>Fecha Informe: 06 oct. 2023</v>
      </c>
    </row>
    <row r="27" spans="1:4">
      <c r="A27" s="425"/>
    </row>
  </sheetData>
  <sheetProtection algorithmName="SHA-512" hashValue="Yqpa3OWd252+G/DHFUXFBUriOaSBltVtQZlzcSrg9YcXo/IL+G24yUCy3azH59h3a+1LkUXdDfO4hiXBCEEYvg==" saltValue="nFDOKbo0jvNIN+ZMZEIH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NOVELDA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9.0909090909090912E-2</v>
      </c>
      <c r="C10" s="472">
        <f>IF(ISNUMBER((Datos!J10-Datos!T10)/Datos!T10),(Datos!J10-Datos!T10)/Datos!T10," - ")</f>
        <v>-0.66666666666666663</v>
      </c>
      <c r="D10" s="472">
        <f>IF(ISNUMBER((Datos!K10-Datos!U10)/Datos!U10),(Datos!K10-Datos!U10)/Datos!U10," - ")</f>
        <v>0.16666666666666666</v>
      </c>
      <c r="E10" s="472">
        <f>IF(ISNUMBER((Datos!L10-Datos!V10)/Datos!V10),(Datos!L10-Datos!V10)/Datos!V10," - ")</f>
        <v>-6.0606060606060608E-2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2.5</v>
      </c>
      <c r="I10" s="472">
        <f>IF(ISNUMBER(((NºAsuntos!I10/NºAsuntos!G10)-Datos!BE10)/Datos!BE10),((NºAsuntos!I10/NºAsuntos!G10)-Datos!BE10)/Datos!BE10," - ")</f>
        <v>-0.19480519480519476</v>
      </c>
      <c r="J10" s="477">
        <f>IF(ISNUMBER((('Resol  Asuntos'!D10/NºAsuntos!G10)-Datos!BF10)/Datos!BF10),(('Resol  Asuntos'!D10/NºAsuntos!G10)-Datos!BF10)/Datos!BF10," - ")</f>
        <v>0.71428571428571419</v>
      </c>
      <c r="K10" s="478">
        <f>IF(ISNUMBER((((NºAsuntos!C10+NºAsuntos!E10)/NºAsuntos!G10)-Datos!BG10)/Datos!BG10),(((NºAsuntos!C10+NºAsuntos!E10)/NºAsuntos!G10)-Datos!BG10)/Datos!BG10," - ")</f>
        <v>-0.1648351648351648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0.20870059709980096</v>
      </c>
      <c r="C12" s="472">
        <f>IF(ISNUMBER(
   IF(J_V="SI",(Datos!J12-Datos!T12)/Datos!T12,(Datos!J12+Datos!Z12-(Datos!T12+Datos!AH12))/(Datos!T12+Datos!AH12))
     ),IF(J_V="SI",(Datos!J12-Datos!T12)/Datos!T12,(Datos!J12+Datos!Z12-(Datos!T12+Datos!AH12))/(Datos!T12+Datos!AH12))," - ")</f>
        <v>0.47863247863247865</v>
      </c>
      <c r="D12" s="472">
        <f>IF(ISNUMBER(
   IF(J_V="SI",(Datos!K12-Datos!U12)/Datos!U12,(Datos!K12+Datos!AA12-(Datos!U12+Datos!AI12))/(Datos!U12+Datos!AI12))
     ),IF(J_V="SI",(Datos!K12-Datos!U12)/Datos!U12,(Datos!K12+Datos!AA12-(Datos!U12+Datos!AI12))/(Datos!U12+Datos!AI12))," - ")</f>
        <v>0.46525679758308158</v>
      </c>
      <c r="E12" s="472">
        <f>IF(ISNUMBER(
   IF(J_V="SI",(Datos!L12-Datos!V12)/Datos!V12,(Datos!L12+Datos!AB12-(Datos!V12+Datos!AJ12))/(Datos!V12+Datos!AJ12))
     ),IF(J_V="SI",(Datos!L12-Datos!V12)/Datos!V12,(Datos!L12+Datos!AB12-(Datos!V12+Datos!AJ12))/(Datos!V12+Datos!AJ12))," - ")</f>
        <v>0.22455089820359281</v>
      </c>
      <c r="F12" s="472">
        <f>IF(ISNUMBER((Datos!M12-Datos!W12)/Datos!W12),(Datos!M12-Datos!W12)/Datos!W12," - ")</f>
        <v>0.42708333333333331</v>
      </c>
      <c r="G12" s="473">
        <f>IF(ISNUMBER((Datos!N12-Datos!X12)/Datos!X12),(Datos!N12-Datos!X12)/Datos!X12," - ")</f>
        <v>0.2</v>
      </c>
      <c r="H12" s="471">
        <f>IF(ISNUMBER(((NºAsuntos!G12/NºAsuntos!E12)-Datos!BD12)/Datos!BD12),((NºAsuntos!G12/NºAsuntos!E12)-Datos!BD12)/Datos!BD12," - ")</f>
        <v>-9.0459808253147596E-3</v>
      </c>
      <c r="I12" s="472">
        <f>IF(ISNUMBER(((NºAsuntos!I12/NºAsuntos!G12)-Datos!BE12)/Datos!BE12),((NºAsuntos!I12/NºAsuntos!G12)-Datos!BE12)/Datos!BE12," - ")</f>
        <v>-0.16427557256620767</v>
      </c>
      <c r="J12" s="477">
        <f>IF(ISNUMBER((('Resol  Asuntos'!D12/NºAsuntos!G12)-Datos!BF12)/Datos!BF12),(('Resol  Asuntos'!D12/NºAsuntos!G12)-Datos!BF12)/Datos!BF12," - ")</f>
        <v>-8.7814935881317516E-2</v>
      </c>
      <c r="K12" s="478">
        <f>IF(ISNUMBER((((NºAsuntos!C12+NºAsuntos!E12)/NºAsuntos!G12)-Datos!BG12)/Datos!BG12),(((NºAsuntos!C12+NºAsuntos!E12)/NºAsuntos!G12)-Datos!BG12)/Datos!BG12," - ")</f>
        <v>-0.14029653440864295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0.20760563380281691</v>
      </c>
      <c r="C13" s="1001">
        <f>IF(ISNUMBER(
   IF(J_V="SI",(Datos!J13-Datos!T13)/Datos!T13,(Datos!J13+Datos!Z13-(Datos!T13+Datos!AH13))/(Datos!T13+Datos!AH13))
     ),IF(J_V="SI",(Datos!J13-Datos!T13)/Datos!T13,(Datos!J13+Datos!Z13-(Datos!T13+Datos!AH13))/(Datos!T13+Datos!AH13))," - ")</f>
        <v>0.47030303030303028</v>
      </c>
      <c r="D13" s="1001">
        <f>IF(ISNUMBER(
   IF(J_V="SI",(Datos!K13-Datos!U13)/Datos!U13,(Datos!K13+Datos!AA13-(Datos!U13+Datos!AI13))/(Datos!U13+Datos!AI13))
     ),IF(J_V="SI",(Datos!K13-Datos!U13)/Datos!U13,(Datos!K13+Datos!AA13-(Datos!U13+Datos!AI13))/(Datos!U13+Datos!AI13))," - ")</f>
        <v>0.46257485029940121</v>
      </c>
      <c r="E13" s="1001">
        <f>IF(ISNUMBER(
   IF(J_V="SI",(Datos!L13-Datos!V13)/Datos!V13,(Datos!L13+Datos!AB13-(Datos!V13+Datos!AJ13))/(Datos!V13+Datos!AJ13))
     ),IF(J_V="SI",(Datos!L13-Datos!V13)/Datos!V13,(Datos!L13+Datos!AB13-(Datos!V13+Datos!AJ13))/(Datos!V13+Datos!AJ13))," - ")</f>
        <v>0.22201240895602914</v>
      </c>
      <c r="F13" s="1002">
        <f>IF(ISNUMBER((Datos!M13-Datos!W13)/Datos!W13),(Datos!M13-Datos!W13)/Datos!W13," - ")</f>
        <v>0.4358974358974359</v>
      </c>
      <c r="G13" s="1003">
        <f>IF(ISNUMBER((Datos!N13-Datos!X13)/Datos!X13),(Datos!N13-Datos!X13)/Datos!X13," - ")</f>
        <v>0.1941747572815534</v>
      </c>
      <c r="H13" s="1003">
        <f>IF(ISNUMBER(((NºAsuntos!G13/NºAsuntos!E13)-Datos!BD13)/Datos!BD13),((NºAsuntos!G13/NºAsuntos!E13)-Datos!BD13)/Datos!BD13," - ")</f>
        <v>-5.2561817831772197E-3</v>
      </c>
      <c r="I13" s="1003">
        <f>IF(ISNUMBER(((NºAsuntos!I13/NºAsuntos!G13)-Datos!BE13)/Datos!BE13),((NºAsuntos!I13/NºAsuntos!G13)-Datos!BE13)/Datos!BE13," - ")</f>
        <v>-0.16447872140979791</v>
      </c>
      <c r="J13" s="1003">
        <f>IF(ISNUMBER((('Resol  Asuntos'!D13/NºAsuntos!G13)-Datos!BF13)/Datos!BF13),(('Resol  Asuntos'!D13/NºAsuntos!G13)-Datos!BF13)/Datos!BF13," - ")</f>
        <v>-7.9600031493583162E-2</v>
      </c>
      <c r="K13" s="1003">
        <f>IF(ISNUMBER((((NºAsuntos!C13+NºAsuntos!E13)/NºAsuntos!G13)-Datos!BG13)/Datos!BG13),(((NºAsuntos!C13+NºAsuntos!E13)/NºAsuntos!G13)-Datos!BG13)/Datos!BG13," - ")</f>
        <v>-0.1404591314519667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0.3656307129798903</v>
      </c>
      <c r="C16" s="472">
        <f>IF(ISNUMBER(
   IF(D_I="SI",(Datos!J16-Datos!T16)/Datos!T16,(Datos!J16+Datos!AD16-(Datos!T16+Datos!AL16))/(Datos!T16+Datos!AL16))
     ),IF(D_I="SI",(Datos!J16-Datos!T16)/Datos!T16,(Datos!J16+Datos!AD16-(Datos!T16+Datos!AL16))/(Datos!T16+Datos!AL16))," - ")</f>
        <v>0.16612903225806452</v>
      </c>
      <c r="D16" s="472">
        <f>IF(ISNUMBER(
   IF(D_I="SI",(Datos!K16-Datos!U16)/Datos!U16,(Datos!K16+Datos!AE16-(Datos!U16+Datos!AM16))/(Datos!U16+Datos!AM16))
     ),IF(D_I="SI",(Datos!K16-Datos!U16)/Datos!U16,(Datos!K16+Datos!AE16-(Datos!U16+Datos!AM16))/(Datos!U16+Datos!AM16))," - ")</f>
        <v>5.9369202226345084E-2</v>
      </c>
      <c r="E16" s="472">
        <f>IF(ISNUMBER(
   IF(D_I="SI",(Datos!L16-Datos!V16)/Datos!V16,(Datos!L16+Datos!AF16-(Datos!V16+Datos!AN16))/(Datos!V16+Datos!AN16))
     ),IF(D_I="SI",(Datos!L16-Datos!V16)/Datos!V16,(Datos!L16+Datos!AF16-(Datos!V16+Datos!AN16))/(Datos!V16+Datos!AN16))," - ")</f>
        <v>0.40085106382978725</v>
      </c>
      <c r="F16" s="472">
        <f>IF(ISNUMBER((Datos!M16-Datos!W16)/Datos!W16),(Datos!M16-Datos!W16)/Datos!W16," - ")</f>
        <v>0.5130434782608696</v>
      </c>
      <c r="G16" s="473">
        <f>IF(ISNUMBER((Datos!N16-Datos!X16)/Datos!X16),(Datos!N16-Datos!X16)/Datos!X16," - ")</f>
        <v>-8.4690553745928335E-2</v>
      </c>
      <c r="H16" s="471">
        <f>IF(ISNUMBER(((NºAsuntos!G16/NºAsuntos!E16)-Datos!BD16)/Datos!BD16),((NºAsuntos!G16/NºAsuntos!E16)-Datos!BD16)/Datos!BD16," - ")</f>
        <v>-9.1550614964960017E-2</v>
      </c>
      <c r="I16" s="472">
        <f>IF(ISNUMBER(((NºAsuntos!I16/NºAsuntos!G16)-Datos!BE16)/Datos!BE16),((NºAsuntos!I16/NºAsuntos!G16)-Datos!BE16)/Datos!BE16," - ")</f>
        <v>0.32234452435070982</v>
      </c>
      <c r="J16" s="477">
        <f>IF(ISNUMBER((('Resol  Asuntos'!D16/NºAsuntos!G16)-Datos!BF16)/Datos!BF16),(('Resol  Asuntos'!D16/NºAsuntos!G16)-Datos!BF16)/Datos!BF16," - ")</f>
        <v>0.42824944795553183</v>
      </c>
      <c r="K16" s="478">
        <f>IF(ISNUMBER((((NºAsuntos!C16+NºAsuntos!E16)/NºAsuntos!G16)-Datos!BG16)/Datos!BG16),(((NºAsuntos!C16+NºAsuntos!E16)/NºAsuntos!G16)-Datos!BG16)/Datos!BG16," - ")</f>
        <v>0.22097713892186935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0.21518987341772153</v>
      </c>
      <c r="C17" s="472">
        <f>IF(ISNUMBER(
   IF(D_I="SI",(Datos!J17-Datos!T17)/Datos!T17,(Datos!J17+Datos!AD17-(Datos!T17+Datos!AL17))/(Datos!T17+Datos!AL17))
     ),IF(D_I="SI",(Datos!J17-Datos!T17)/Datos!T17,(Datos!J17+Datos!AD17-(Datos!T17+Datos!AL17))/(Datos!T17+Datos!AL17))," - ")</f>
        <v>-0.75609756097560976</v>
      </c>
      <c r="D17" s="472">
        <f>IF(ISNUMBER(
   IF(D_I="SI",(Datos!K17-Datos!U17)/Datos!U17,(Datos!K17+Datos!AE17-(Datos!U17+Datos!AM17))/(Datos!U17+Datos!AM17))
     ),IF(D_I="SI",(Datos!K17-Datos!U17)/Datos!U17,(Datos!K17+Datos!AE17-(Datos!U17+Datos!AM17))/(Datos!U17+Datos!AM17))," - ")</f>
        <v>-0.62650602409638556</v>
      </c>
      <c r="E17" s="472">
        <f>IF(ISNUMBER(
   IF(D_I="SI",(Datos!L17-Datos!V17)/Datos!V17,(Datos!L17+Datos!AF17-(Datos!V17+Datos!AN17))/(Datos!V17+Datos!AN17))
     ),IF(D_I="SI",(Datos!L17-Datos!V17)/Datos!V17,(Datos!L17+Datos!AF17-(Datos!V17+Datos!AN17))/(Datos!V17+Datos!AN17))," - ")</f>
        <v>8.9743589743589744E-2</v>
      </c>
      <c r="F17" s="472">
        <f>IF(ISNUMBER((Datos!M17-Datos!W17)/Datos!W17),(Datos!M17-Datos!W17)/Datos!W17," - ")</f>
        <v>-0.93333333333333335</v>
      </c>
      <c r="G17" s="473">
        <f>IF(ISNUMBER((Datos!N17-Datos!X17)/Datos!X17),(Datos!N17-Datos!X17)/Datos!X17," - ")</f>
        <v>-0.94827586206896552</v>
      </c>
      <c r="H17" s="471">
        <f>IF(ISNUMBER(((NºAsuntos!G17/NºAsuntos!E17)-Datos!BD17)/Datos!BD17),((NºAsuntos!G17/NºAsuntos!E17)-Datos!BD17)/Datos!BD17," - ")</f>
        <v>0.53132530120481936</v>
      </c>
      <c r="I17" s="472">
        <f>IF(ISNUMBER(((NºAsuntos!I17/NºAsuntos!G17)-Datos!BE17)/Datos!BE17),((NºAsuntos!I17/NºAsuntos!G17)-Datos!BE17)/Datos!BE17," - ")</f>
        <v>1.9177005789909012</v>
      </c>
      <c r="J17" s="477">
        <f>IF(ISNUMBER((('Resol  Asuntos'!D17/NºAsuntos!G17)-Datos!BF17)/Datos!BF17),(('Resol  Asuntos'!D17/NºAsuntos!G17)-Datos!BF17)/Datos!BF17," - ")</f>
        <v>-0.82150537634408605</v>
      </c>
      <c r="K17" s="478">
        <f>IF(ISNUMBER((((NºAsuntos!C17+NºAsuntos!E17)/NºAsuntos!G17)-Datos!BG17)/Datos!BG17),(((NºAsuntos!C17+NºAsuntos!E17)/NºAsuntos!G17)-Datos!BG17)/Datos!BG17," - ")</f>
        <v>0.92907233019434976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0.35549872122762149</v>
      </c>
      <c r="C18" s="1001">
        <f>IF(ISNUMBER(
   IF(Criterios!B14="SI",(Datos!J18-Datos!T18)/Datos!T18,(Datos!J18+Datos!AD18-(Datos!T18+Datos!AL18))/(Datos!T18+Datos!AL18))
     ),IF(Criterios!B14="SI",(Datos!J18-Datos!T18)/Datos!T18,(Datos!J18+Datos!AD18-(Datos!T18+Datos!AL18))/(Datos!T18+Datos!AL18))," - ")</f>
        <v>5.8404558404558403E-2</v>
      </c>
      <c r="D18" s="1001">
        <f>IF(ISNUMBER(
   IF(Criterios!B14="SI",(Datos!K18-Datos!U18)/Datos!U18,(Datos!K18+Datos!AE18-(Datos!U18+Datos!AM18))/(Datos!U18+Datos!AM18))
     ),IF(Criterios!B14="SI",(Datos!K18-Datos!U18)/Datos!U18,(Datos!K18+Datos!AE18-(Datos!U18+Datos!AM18))/(Datos!U18+Datos!AM18))," - ")</f>
        <v>-3.215434083601286E-2</v>
      </c>
      <c r="E18" s="1001">
        <f>IF(ISNUMBER(
   IF(Criterios!B14="SI",(Datos!L18-Datos!V18)/Datos!V18,(Datos!L18+Datos!AF18-(Datos!V18+Datos!AN18))/(Datos!V18+Datos!AN18))
     ),IF(Criterios!B14="SI",(Datos!L18-Datos!V18)/Datos!V18,(Datos!L18+Datos!AF18-(Datos!V18+Datos!AN18))/(Datos!V18+Datos!AN18))," - ")</f>
        <v>0.38148443735035914</v>
      </c>
      <c r="F18" s="1002">
        <f>IF(ISNUMBER((Datos!M18-Datos!W18)/Datos!W18),(Datos!M18-Datos!W18)/Datos!W18," - ")</f>
        <v>0.34615384615384615</v>
      </c>
      <c r="G18" s="1003">
        <f>IF(ISNUMBER((Datos!N18-Datos!X18)/Datos!X18),(Datos!N18-Datos!X18)/Datos!X18," - ")</f>
        <v>-0.22191780821917809</v>
      </c>
      <c r="H18" s="1003">
        <f>IF(ISNUMBER(((NºAsuntos!G18/NºAsuntos!E18)-Datos!BD18)/Datos!BD18),((NºAsuntos!G18/NºAsuntos!E18)-Datos!BD18)/Datos!BD18," - ")</f>
        <v>-8.556170560818438E-2</v>
      </c>
      <c r="I18" s="1003">
        <f>IF(ISNUMBER(((NºAsuntos!I18/NºAsuntos!G18)-Datos!BE18)/Datos!BE18),((NºAsuntos!I18/NºAsuntos!G18)-Datos!BE18)/Datos!BE18," - ")</f>
        <v>0.42738093028558682</v>
      </c>
      <c r="J18" s="1003">
        <f>IF(ISNUMBER((('Resol  Asuntos'!D18/NºAsuntos!G18)-Datos!BF18)/Datos!BF18),(('Resol  Asuntos'!D18/NºAsuntos!G18)-Datos!BF18)/Datos!BF18," - ")</f>
        <v>0.39087656529517006</v>
      </c>
      <c r="K18" s="1003">
        <f>IF(ISNUMBER((((NºAsuntos!C18+NºAsuntos!E18)/NºAsuntos!G18)-Datos!BG18)/Datos!BG18),(((NºAsuntos!C18+NºAsuntos!E18)/NºAsuntos!G18)-Datos!BG18)/Datos!BG18," - ")</f>
        <v>0.28560442967884819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0.24433622697438068</v>
      </c>
      <c r="C19" s="948">
        <f>IF(ISNUMBER(
   IF(J_V="SI",(Datos!J19-Datos!T19)/Datos!T19,(Datos!J19+Datos!Z19-(Datos!T19+Datos!AH19))/(Datos!T19+Datos!AH19))
     ),IF(J_V="SI",(Datos!J19-Datos!T19)/Datos!T19,(Datos!J19+Datos!Z19-(Datos!T19+Datos!AH19))/(Datos!T19+Datos!AH19))," - ")</f>
        <v>0.28094302554027506</v>
      </c>
      <c r="D19" s="948">
        <f>IF(ISNUMBER(
   IF(J_V="SI",(Datos!K19-Datos!U19)/Datos!U19,(Datos!K19+Datos!AA19-(Datos!U19+Datos!AI19))/(Datos!U19+Datos!AI19))
     ),IF(J_V="SI",(Datos!K19-Datos!U19)/Datos!U19,(Datos!K19+Datos!AA19-(Datos!U19+Datos!AI19))/(Datos!U19+Datos!AI19))," - ")</f>
        <v>0.22403100775193799</v>
      </c>
      <c r="E19" s="948">
        <f>IF(ISNUMBER(
   IF(J_V="SI",(Datos!L19-Datos!V19)/Datos!V19,(Datos!L19+Datos!AB19-(Datos!V19+Datos!AJ19))/(Datos!V19+Datos!AJ19))
     ),IF(J_V="SI",(Datos!L19-Datos!V19)/Datos!V19,(Datos!L19+Datos!AB19-(Datos!V19+Datos!AJ19))/(Datos!V19+Datos!AJ19))," - ")</f>
        <v>0.26229838709677417</v>
      </c>
      <c r="F19" s="949">
        <f>IF(ISNUMBER((Datos!M19-Datos!W19)/Datos!W19),(Datos!M19-Datos!W19)/Datos!W19," - ")</f>
        <v>0.4</v>
      </c>
      <c r="G19" s="950">
        <f>IF(ISNUMBER((Datos!N19-Datos!X19)/Datos!X19),(Datos!N19-Datos!X19)/Datos!X19," - ")</f>
        <v>-7.1803852889667244E-2</v>
      </c>
      <c r="H19" s="951">
        <f>IF(ISNUMBER((Tasas!B19-Datos!BD19)/Datos!BD19),(Tasas!B19-Datos!BD19)/Datos!BD19," - ")</f>
        <v>-4.4429780758073002E-2</v>
      </c>
      <c r="I19" s="952">
        <f>IF(ISNUMBER((Tasas!C19-Datos!BE19)/Datos!BE19),(Tasas!C19-Datos!BE19)/Datos!BE19," - ")</f>
        <v>3.1263406811170714E-2</v>
      </c>
      <c r="J19" s="953">
        <f>IF(ISNUMBER((Tasas!D19-Datos!BF19)/Datos!BF19),(Tasas!D19-Datos!BF19)/Datos!BF19," - ")</f>
        <v>9.9771033273249779E-2</v>
      </c>
      <c r="K19" s="953">
        <f>IF(ISNUMBER((Tasas!E19-Datos!BG19)/Datos!BG19),(Tasas!E19-Datos!BG19)/Datos!BG19," - ")</f>
        <v>2.3895630145661918E-2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LrnazmwdOkPOD5AbnNUyJlntN1iXRApx/DLMO6I2wblKuMeZJ/CzmFqxwtW4YPRLG6PIZlh2PfmWcGeMq9Bsw==" saltValue="fOwX5xxZwzxB/RHsKuZT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NOVELDA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3.5</v>
      </c>
      <c r="C10" s="459">
        <f>IF(ISNUMBER(NºAsuntos!I10/NºAsuntos!G10),NºAsuntos!I10/NºAsuntos!G10," - ")</f>
        <v>4.4285714285714288</v>
      </c>
      <c r="D10" s="460">
        <f>IF(ISNUMBER('Resol  Asuntos'!D10/NºAsuntos!G10),'Resol  Asuntos'!D10/NºAsuntos!G10," - ")</f>
        <v>0.8571428571428571</v>
      </c>
      <c r="E10" s="461">
        <f>IF(ISNUMBER((NºAsuntos!C10+NºAsuntos!E10)/NºAsuntos!G10),(NºAsuntos!C10+NºAsuntos!E10)/NºAsuntos!G10," - ")</f>
        <v>5.4285714285714288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0.80099091659785304</v>
      </c>
      <c r="C12" s="459">
        <f>IF(ISNUMBER(NºAsuntos!I12/NºAsuntos!G12),NºAsuntos!I12/NºAsuntos!G12," - ")</f>
        <v>4.6381443298969076</v>
      </c>
      <c r="D12" s="460">
        <f>IF(ISNUMBER('Resol  Asuntos'!D12/NºAsuntos!G12),'Resol  Asuntos'!D12/NºAsuntos!G12," - ")</f>
        <v>0.28247422680412371</v>
      </c>
      <c r="E12" s="461">
        <f>IF(ISNUMBER((NºAsuntos!C12+NºAsuntos!E12)/NºAsuntos!G12),(NºAsuntos!C12+NºAsuntos!E12)/NºAsuntos!G12," - ")</f>
        <v>5.6309278350515468</v>
      </c>
      <c r="G12" s="479"/>
    </row>
    <row r="13" spans="1:7" ht="14.25" thickTop="1" thickBot="1">
      <c r="A13" s="994" t="str">
        <f>Datos!A13</f>
        <v>TOTAL</v>
      </c>
      <c r="B13" s="1004">
        <f>IF(ISNUMBER(NºAsuntos!G13/NºAsuntos!E13),NºAsuntos!G13/NºAsuntos!E13," - ")</f>
        <v>0.80544105523495468</v>
      </c>
      <c r="C13" s="1005">
        <f>IF(ISNUMBER(NºAsuntos!I13/NºAsuntos!G13),NºAsuntos!I13/NºAsuntos!G13," - ")</f>
        <v>4.6366427840327535</v>
      </c>
      <c r="D13" s="1006">
        <f>IF(ISNUMBER('Resol  Asuntos'!D13/NºAsuntos!G13),'Resol  Asuntos'!D13/NºAsuntos!G13," - ")</f>
        <v>0.2865916069600819</v>
      </c>
      <c r="E13" s="1007">
        <f>IF(ISNUMBER((NºAsuntos!C13+NºAsuntos!E13)/NºAsuntos!G13),(NºAsuntos!C13+NºAsuntos!E13)/NºAsuntos!G13," - ")</f>
        <v>5.6294779938587514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0.78976486860304285</v>
      </c>
      <c r="C16" s="459">
        <f>IF(ISNUMBER(NºAsuntos!I16/NºAsuntos!G16),NºAsuntos!I16/NºAsuntos!G16," - ")</f>
        <v>2.8826619964973732</v>
      </c>
      <c r="D16" s="460">
        <f>IF(ISNUMBER('Resol  Asuntos'!D16/NºAsuntos!G16),'Resol  Asuntos'!D16/NºAsuntos!G16," - ")</f>
        <v>0.30472854640980734</v>
      </c>
      <c r="E16" s="461">
        <f>IF(ISNUMBER((NºAsuntos!C16+NºAsuntos!E16)/NºAsuntos!G16),(NºAsuntos!C16+NºAsuntos!E16)/NºAsuntos!G16," - ")</f>
        <v>3.8826619964973732</v>
      </c>
      <c r="G16" s="479"/>
    </row>
    <row r="17" spans="1:7" ht="13.5" thickBot="1">
      <c r="A17" s="413" t="str">
        <f>Datos!A17</f>
        <v>Jdos. Violencia contra la mujer</v>
      </c>
      <c r="B17" s="458">
        <f>IF(ISNUMBER(NºAsuntos!G17/NºAsuntos!E17),NºAsuntos!G17/NºAsuntos!E17," - ")</f>
        <v>1.55</v>
      </c>
      <c r="C17" s="459">
        <f>IF(ISNUMBER(NºAsuntos!I17/NºAsuntos!G17),NºAsuntos!I17/NºAsuntos!G17," - ")</f>
        <v>2.7419354838709675</v>
      </c>
      <c r="D17" s="460">
        <f>IF(ISNUMBER('Resol  Asuntos'!D17/NºAsuntos!G17),'Resol  Asuntos'!D17/NºAsuntos!G17," - ")</f>
        <v>3.2258064516129031E-2</v>
      </c>
      <c r="E17" s="461">
        <f>IF(ISNUMBER((NºAsuntos!C17+NºAsuntos!E17)/NºAsuntos!G17),(NºAsuntos!C17+NºAsuntos!E17)/NºAsuntos!G17," - ")</f>
        <v>3.7419354838709675</v>
      </c>
      <c r="G17" s="479"/>
    </row>
    <row r="18" spans="1:7" ht="14.25" thickTop="1" thickBot="1">
      <c r="A18" s="994" t="str">
        <f>Datos!A18</f>
        <v>TOTAL</v>
      </c>
      <c r="B18" s="1004">
        <f>IF(ISNUMBER(NºAsuntos!G18/NºAsuntos!E18),NºAsuntos!G18/NºAsuntos!E18," - ")</f>
        <v>0.81022880215343207</v>
      </c>
      <c r="C18" s="1005">
        <f>IF(ISNUMBER(NºAsuntos!I18/NºAsuntos!G18),NºAsuntos!I18/NºAsuntos!G18," - ")</f>
        <v>2.8754152823920265</v>
      </c>
      <c r="D18" s="1008">
        <f>IF(ISNUMBER('Resol  Asuntos'!D18/NºAsuntos!G18),'Resol  Asuntos'!D18/NºAsuntos!G18," - ")</f>
        <v>0.29069767441860467</v>
      </c>
      <c r="E18" s="1007">
        <f>IF(ISNUMBER((NºAsuntos!C18+NºAsuntos!E18)/NºAsuntos!G18),(NºAsuntos!C18+NºAsuntos!E18)/NºAsuntos!G18," - ")</f>
        <v>3.8754152823920265</v>
      </c>
      <c r="G18" s="479"/>
    </row>
    <row r="19" spans="1:7" ht="15.75" customHeight="1" thickTop="1" thickBot="1">
      <c r="A19" s="939" t="str">
        <f>Datos!A19</f>
        <v>TOTAL JURISDICCIONES</v>
      </c>
      <c r="B19" s="954">
        <f>IF(ISNUMBER(NºAsuntos!G19/NºAsuntos!E19),NºAsuntos!G19/NºAsuntos!E19," - ")</f>
        <v>0.80725971370143146</v>
      </c>
      <c r="C19" s="955">
        <f>IF(ISNUMBER(NºAsuntos!I19/NºAsuntos!G19),NºAsuntos!I19/NºAsuntos!G19," - ")</f>
        <v>3.9651678277390752</v>
      </c>
      <c r="D19" s="956">
        <f>IF(ISNUMBER('Resol  Asuntos'!D19/NºAsuntos!G19),'Resol  Asuntos'!D19/NºAsuntos!G19," - ")</f>
        <v>0.28815706143128561</v>
      </c>
      <c r="E19" s="957">
        <f>IF(ISNUMBER((NºAsuntos!C19+NºAsuntos!E19)/NºAsuntos!G19),(NºAsuntos!C19+NºAsuntos!E19)/NºAsuntos!G19," - ")</f>
        <v>4.9607346421785943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gB3bTWgxa0Doa2QSfCkU0RNpz4t8+XlzGhSETfCxhOd1pCXA6GWQ0JurCNKwegpbwKFox6R0MjRSrZBLbPbTQ==" saltValue="6I/2grz97oUtlwmukuGB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NOVELDA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1</v>
      </c>
      <c r="Y10" s="343">
        <f t="shared" ref="Y10:Y12" si="0">SUM(W10:X10)</f>
        <v>8</v>
      </c>
      <c r="Z10" s="344" t="str">
        <f>IF(ISNUMBER(Datos!CC10),Datos!CC10," - ")</f>
        <v xml:space="preserve"> - </v>
      </c>
      <c r="AA10" s="341">
        <f>IF(ISNUMBER(Datos!L10),Datos!L10,"-")</f>
        <v>31</v>
      </c>
      <c r="AB10" s="343">
        <f>IF(ISNUMBER(Datos!R10),Datos!R10," - ")</f>
        <v>15</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3.5</v>
      </c>
      <c r="AM10" s="264">
        <f>IF(ISNUMBER(((NºAsuntos!I10/NºAsuntos!G10)*11)/factor_trimestre),((NºAsuntos!I10/NºAsuntos!G10)*11)/factor_trimestre," - ")</f>
        <v>13.285714285714286</v>
      </c>
      <c r="AN10" s="248">
        <f>IF(ISNUMBER('Resol  Asuntos'!D10/NºAsuntos!G10),'Resol  Asuntos'!D10/NºAsuntos!G10," - ")</f>
        <v>0.8571428571428571</v>
      </c>
      <c r="AO10" s="249">
        <f>IF(ISNUMBER((NºAsuntos!C10+NºAsuntos!E10)/NºAsuntos!G10),(NºAsuntos!C10+NºAsuntos!E10)/NºAsuntos!G10," - ")</f>
        <v>5.4285714285714288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164</v>
      </c>
      <c r="Y12" s="343">
        <f t="shared" si="0"/>
        <v>164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6558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274</v>
      </c>
      <c r="AJ12" s="233" t="str">
        <f>IF(ISNUMBER(Datos!BW12),Datos!BW12," - ")</f>
        <v xml:space="preserve"> - </v>
      </c>
      <c r="AK12" s="232" t="str">
        <f>IF(ISNUMBER(Datos!BX12),Datos!BX12," - ")</f>
        <v xml:space="preserve"> - </v>
      </c>
      <c r="AL12" s="247">
        <f>IF(ISNUMBER(NºAsuntos!G12/NºAsuntos!E12),NºAsuntos!G12/NºAsuntos!E12," - ")</f>
        <v>0.80099091659785304</v>
      </c>
      <c r="AM12" s="264">
        <f>IF(ISNUMBER(((NºAsuntos!I12/NºAsuntos!G12)*11)/factor_trimestre),((NºAsuntos!I12/NºAsuntos!G12)*11)/factor_trimestre," - ")</f>
        <v>13.914432989690724</v>
      </c>
      <c r="AN12" s="248">
        <f>IF(ISNUMBER('Resol  Asuntos'!D12/NºAsuntos!G12),'Resol  Asuntos'!D12/NºAsuntos!G12," - ")</f>
        <v>0.28247422680412371</v>
      </c>
      <c r="AO12" s="249">
        <f>IF(ISNUMBER((NºAsuntos!C12+NºAsuntos!E12)/NºAsuntos!G12),(NºAsuntos!C12+NºAsuntos!E12)/NºAsuntos!G12," - ")</f>
        <v>5.6309278350515468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36</v>
      </c>
      <c r="G13" s="1012">
        <f t="shared" si="3"/>
        <v>36</v>
      </c>
      <c r="H13" s="1011">
        <f t="shared" si="3"/>
        <v>0</v>
      </c>
      <c r="I13" s="1013">
        <f t="shared" si="3"/>
        <v>0</v>
      </c>
      <c r="J13" s="1013">
        <f t="shared" si="3"/>
        <v>0</v>
      </c>
      <c r="K13" s="1013">
        <f t="shared" si="3"/>
        <v>0</v>
      </c>
      <c r="L13" s="1013">
        <f t="shared" si="3"/>
        <v>206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165</v>
      </c>
      <c r="Y13" s="1014">
        <f t="shared" si="4"/>
        <v>172</v>
      </c>
      <c r="Z13" s="1014">
        <f t="shared" si="4"/>
        <v>0</v>
      </c>
      <c r="AA13" s="1014">
        <f t="shared" si="4"/>
        <v>31</v>
      </c>
      <c r="AB13" s="1014">
        <f t="shared" si="4"/>
        <v>6573</v>
      </c>
      <c r="AC13" s="1014">
        <f t="shared" si="4"/>
        <v>46</v>
      </c>
      <c r="AD13" s="1014">
        <f t="shared" si="4"/>
        <v>0</v>
      </c>
      <c r="AE13" s="1018">
        <f t="shared" si="4"/>
        <v>0</v>
      </c>
      <c r="AF13" s="1011">
        <f t="shared" si="4"/>
        <v>0</v>
      </c>
      <c r="AG13" s="1019">
        <f t="shared" si="4"/>
        <v>0</v>
      </c>
      <c r="AH13" s="1016">
        <f t="shared" si="4"/>
        <v>0</v>
      </c>
      <c r="AI13" s="1011">
        <f t="shared" si="4"/>
        <v>280</v>
      </c>
      <c r="AJ13" s="1013">
        <f t="shared" si="4"/>
        <v>0</v>
      </c>
      <c r="AK13" s="1016">
        <f>SUBTOTAL(9,AK9:AK12)</f>
        <v>0</v>
      </c>
      <c r="AL13" s="1020">
        <f>IF(ISNUMBER(NºAsuntos!G13/NºAsuntos!E13),NºAsuntos!G13/NºAsuntos!E13," - ")</f>
        <v>0.80544105523495468</v>
      </c>
      <c r="AM13" s="1020">
        <f>IF(ISNUMBER(((NºAsuntos!I13/NºAsuntos!G13)*11)/factor_trimestre),((NºAsuntos!I13/NºAsuntos!G13)*11)/factor_trimestre," - ")</f>
        <v>13.909928352098262</v>
      </c>
      <c r="AN13" s="1021">
        <f>IF(ISNUMBER('Resol  Asuntos'!D13/NºAsuntos!G13),'Resol  Asuntos'!D13/NºAsuntos!G13," - ")</f>
        <v>0.2865916069600819</v>
      </c>
      <c r="AO13" s="1022">
        <f>IF(ISNUMBER((NºAsuntos!C13+NºAsuntos!E13)/NºAsuntos!G13),(NºAsuntos!C13+NºAsuntos!E13)/NºAsuntos!G13," - ")</f>
        <v>5.6294779938587514</v>
      </c>
      <c r="AP13" s="1023" t="str">
        <f t="shared" si="2"/>
        <v xml:space="preserve"> - </v>
      </c>
      <c r="AQ13" s="1023">
        <f>IF(ISNUMBER((H13-W13+K13)/(F13)),(H13-W13+K13)/(F13)," - ")</f>
        <v>-0.19444444444444445</v>
      </c>
      <c r="AR13" s="1024">
        <f>IF(ISNUMBER((Datos!P13-Datos!Q13)/(Datos!R13-Datos!P13+Datos!Q13)),(Datos!P13-Datos!Q13)/(Datos!R13-Datos!P13+Datos!Q13)," - ")</f>
        <v>6.2767911818738522E-3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1494</v>
      </c>
      <c r="G16" s="342">
        <f>IF(ISNUMBER(IF(D_I="SI",Datos!I16,Datos!I16+Datos!AC16)),IF(D_I="SI",Datos!I16,Datos!I16+Datos!AC16)," - ")</f>
        <v>1494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571</v>
      </c>
      <c r="X16" s="230">
        <f>IF(ISNUMBER(Datos!Q16),Datos!Q16," - ")</f>
        <v>23</v>
      </c>
      <c r="Y16" s="343">
        <f t="shared" ref="Y16:Y17" si="7">SUM(W16:X16)</f>
        <v>594</v>
      </c>
      <c r="Z16" s="344" t="str">
        <f>IF(ISNUMBER(Datos!CC16),Datos!CC16," - ")</f>
        <v xml:space="preserve"> - </v>
      </c>
      <c r="AA16" s="341">
        <f>IF(ISNUMBER(IF(D_I="SI",Datos!L16,Datos!L16+Datos!AF16)),IF(D_I="SI",Datos!L16,Datos!L16+Datos!AF16)," - ")</f>
        <v>1646</v>
      </c>
      <c r="AB16" s="343">
        <f>IF(ISNUMBER(Datos!R16),Datos!R16," - ")</f>
        <v>125</v>
      </c>
      <c r="AC16" s="343">
        <f t="shared" si="6"/>
        <v>1771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174</v>
      </c>
      <c r="AJ16" s="235" t="str">
        <f>IF(ISNUMBER(Datos!BW16),Datos!BW16," - ")</f>
        <v xml:space="preserve"> - </v>
      </c>
      <c r="AK16" s="236" t="str">
        <f>IF(ISNUMBER(Datos!BX16),Datos!BX16," - ")</f>
        <v xml:space="preserve"> - </v>
      </c>
      <c r="AL16" s="247">
        <f>IF(ISNUMBER(NºAsuntos!G16/NºAsuntos!E16),NºAsuntos!G16/NºAsuntos!E16," - ")</f>
        <v>0.78976486860304285</v>
      </c>
      <c r="AM16" s="264">
        <f>IF(ISNUMBER(((NºAsuntos!I16/NºAsuntos!G16)*11)/factor_trimestre),((NºAsuntos!I16/NºAsuntos!G16)*11)/factor_trimestre," - ")</f>
        <v>8.6479859894921205</v>
      </c>
      <c r="AN16" s="248">
        <f>IF(ISNUMBER('Resol  Asuntos'!D16/NºAsuntos!G16),'Resol  Asuntos'!D16/NºAsuntos!G16," - ")</f>
        <v>0.30472854640980734</v>
      </c>
      <c r="AO16" s="249">
        <f>IF(ISNUMBER((NºAsuntos!C16+NºAsuntos!E16)/NºAsuntos!G16),(NºAsuntos!C16+NºAsuntos!E16)/NºAsuntos!G16," - ")</f>
        <v>3.8826619964973732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v>
      </c>
      <c r="X17" s="230">
        <f>IF(ISNUMBER(Datos!Q17),Datos!Q17," - ")</f>
        <v>0</v>
      </c>
      <c r="Y17" s="343">
        <f t="shared" si="7"/>
        <v>31</v>
      </c>
      <c r="Z17" s="344" t="str">
        <f>IF(ISNUMBER(Datos!CC17),Datos!CC17," - ")</f>
        <v xml:space="preserve"> - </v>
      </c>
      <c r="AA17" s="341">
        <f>IF(ISNUMBER(Datos!L17),Datos!L17,"-")</f>
        <v>85</v>
      </c>
      <c r="AB17" s="343">
        <f>IF(ISNUMBER(Datos!R17),Datos!R17," - ")</f>
        <v>1</v>
      </c>
      <c r="AC17" s="343">
        <f t="shared" si="6"/>
        <v>86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1.55</v>
      </c>
      <c r="AM17" s="264">
        <f>IF(ISNUMBER(((NºAsuntos!I17/NºAsuntos!G17)*11)/factor_trimestre),((NºAsuntos!I17/NºAsuntos!G17)*11)/factor_trimestre," - ")</f>
        <v>8.2258064516129039</v>
      </c>
      <c r="AN17" s="248">
        <f>IF(ISNUMBER('Resol  Asuntos'!D17/NºAsuntos!G17),'Resol  Asuntos'!D17/NºAsuntos!G17," - ")</f>
        <v>3.2258064516129031E-2</v>
      </c>
      <c r="AO17" s="249">
        <f>IF(ISNUMBER((NºAsuntos!C17+NºAsuntos!E17)/NºAsuntos!G17),(NºAsuntos!C17+NºAsuntos!E17)/NºAsuntos!G17," - ")</f>
        <v>3.7419354838709675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1494</v>
      </c>
      <c r="G18" s="1012">
        <f>SUBTOTAL(9,G15:G17)</f>
        <v>1590</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602</v>
      </c>
      <c r="X18" s="1013">
        <f t="shared" si="11"/>
        <v>23</v>
      </c>
      <c r="Y18" s="1014">
        <f t="shared" si="11"/>
        <v>625</v>
      </c>
      <c r="Z18" s="1014">
        <f t="shared" si="11"/>
        <v>0</v>
      </c>
      <c r="AA18" s="1014">
        <f t="shared" si="11"/>
        <v>1731</v>
      </c>
      <c r="AB18" s="1014">
        <f t="shared" si="11"/>
        <v>126</v>
      </c>
      <c r="AC18" s="1014">
        <f t="shared" si="11"/>
        <v>1857</v>
      </c>
      <c r="AD18" s="1014">
        <f t="shared" si="11"/>
        <v>0</v>
      </c>
      <c r="AE18" s="1018">
        <f t="shared" si="11"/>
        <v>0</v>
      </c>
      <c r="AF18" s="1011">
        <f t="shared" si="11"/>
        <v>0</v>
      </c>
      <c r="AG18" s="1019">
        <f t="shared" si="11"/>
        <v>0</v>
      </c>
      <c r="AH18" s="1016">
        <f t="shared" si="11"/>
        <v>0</v>
      </c>
      <c r="AI18" s="1011">
        <f t="shared" si="11"/>
        <v>175</v>
      </c>
      <c r="AJ18" s="1013">
        <f t="shared" si="11"/>
        <v>0</v>
      </c>
      <c r="AK18" s="1016">
        <f t="shared" si="11"/>
        <v>0</v>
      </c>
      <c r="AL18" s="1020">
        <f>IF(ISNUMBER(NºAsuntos!G18/NºAsuntos!E18),NºAsuntos!G18/NºAsuntos!E18," - ")</f>
        <v>0.81022880215343207</v>
      </c>
      <c r="AM18" s="1020">
        <f>IF(ISNUMBER(((NºAsuntos!I18/NºAsuntos!G18)*11)/factor_trimestre),((NºAsuntos!I18/NºAsuntos!G18)*11)/factor_trimestre," - ")</f>
        <v>8.6262458471760795</v>
      </c>
      <c r="AN18" s="1021">
        <f>IF(ISNUMBER('Resol  Asuntos'!D18/NºAsuntos!G18),'Resol  Asuntos'!D18/NºAsuntos!G18," - ")</f>
        <v>0.29069767441860467</v>
      </c>
      <c r="AO18" s="1022">
        <f>IF(ISNUMBER((NºAsuntos!C18+NºAsuntos!E18)/NºAsuntos!G18),(NºAsuntos!C18+NºAsuntos!E18)/NºAsuntos!G18," - ")</f>
        <v>3.8754152823920265</v>
      </c>
      <c r="AP18" s="1023" t="str">
        <f t="shared" si="2"/>
        <v xml:space="preserve"> - </v>
      </c>
      <c r="AQ18" s="1023">
        <f>IF(ISNUMBER((H18-W18+K18)/(F18)),(H18-W18+K18)/(F18)," - ")</f>
        <v>-0.4029451137884873</v>
      </c>
      <c r="AR18" s="1024">
        <f>IF(ISNUMBER((Datos!P18-Datos!Q18)/(Datos!R18-Datos!P18+Datos!Q18)),(Datos!P18-Datos!Q18)/(Datos!R18-Datos!P18+Datos!Q18)," - ")</f>
        <v>1.6129032258064516E-2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1530</v>
      </c>
      <c r="G19" s="967">
        <f t="shared" si="13"/>
        <v>1626</v>
      </c>
      <c r="H19" s="966">
        <f t="shared" si="13"/>
        <v>0</v>
      </c>
      <c r="I19" s="968">
        <f t="shared" si="13"/>
        <v>0</v>
      </c>
      <c r="J19" s="968">
        <f t="shared" si="13"/>
        <v>0</v>
      </c>
      <c r="K19" s="1027">
        <f t="shared" si="13"/>
        <v>0</v>
      </c>
      <c r="L19" s="968">
        <f t="shared" si="13"/>
        <v>231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609</v>
      </c>
      <c r="X19" s="967">
        <f t="shared" si="14"/>
        <v>188</v>
      </c>
      <c r="Y19" s="974">
        <f t="shared" si="14"/>
        <v>797</v>
      </c>
      <c r="Z19" s="974">
        <f t="shared" si="14"/>
        <v>0</v>
      </c>
      <c r="AA19" s="974">
        <f t="shared" si="14"/>
        <v>1762</v>
      </c>
      <c r="AB19" s="974">
        <f t="shared" si="14"/>
        <v>6699</v>
      </c>
      <c r="AC19" s="974">
        <f t="shared" si="14"/>
        <v>1903</v>
      </c>
      <c r="AD19" s="974">
        <f t="shared" si="14"/>
        <v>0</v>
      </c>
      <c r="AE19" s="976">
        <f t="shared" si="14"/>
        <v>0</v>
      </c>
      <c r="AF19" s="977">
        <f t="shared" si="14"/>
        <v>0</v>
      </c>
      <c r="AG19" s="978">
        <f t="shared" si="14"/>
        <v>0</v>
      </c>
      <c r="AH19" s="976">
        <f t="shared" si="14"/>
        <v>0</v>
      </c>
      <c r="AI19" s="966">
        <f t="shared" si="14"/>
        <v>455</v>
      </c>
      <c r="AJ19" s="966">
        <f t="shared" si="14"/>
        <v>0</v>
      </c>
      <c r="AK19" s="976">
        <f t="shared" si="14"/>
        <v>0</v>
      </c>
      <c r="AL19" s="1030">
        <f>IF(ISNUMBER(NºAsuntos!G19/NºAsuntos!E19),NºAsuntos!G19/NºAsuntos!E19," - ")</f>
        <v>0.80725971370143146</v>
      </c>
      <c r="AM19" s="1031">
        <f>IF(ISNUMBER(((NºAsuntos!I19/NºAsuntos!G19)*11)/factor_trimestre),((NºAsuntos!I19/NºAsuntos!G19)*11)/factor_trimestre," - ")</f>
        <v>11.895503483217226</v>
      </c>
      <c r="AN19" s="1031">
        <f>IF(ISNUMBER('Resol  Asuntos'!D19/NºAsuntos!G19),'Resol  Asuntos'!D19/NºAsuntos!G19," - ")</f>
        <v>0.28815706143128561</v>
      </c>
      <c r="AO19" s="1032">
        <f>IF(ISNUMBER((NºAsuntos!C19+NºAsuntos!E19)/NºAsuntos!G19),(NºAsuntos!C19+NºAsuntos!E19)/NºAsuntos!G19," - ")</f>
        <v>4.9607346421785943</v>
      </c>
      <c r="AP19" s="1033" t="str">
        <f t="shared" si="2"/>
        <v xml:space="preserve"> - </v>
      </c>
      <c r="AQ19" s="1034">
        <f>IF(OR(ISNUMBER(FIND("01",Criterios!A8,1)),ISNUMBER(FIND("02",Criterios!A8,1)),ISNUMBER(FIND("03",Criterios!A8,1)),ISNUMBER(FIND("04",Criterios!A8,1))),(I19-W19+K19)/(F19-K19),(H19-W19+K19)/(F19-K19))</f>
        <v>-0.39803921568627448</v>
      </c>
      <c r="AR19" s="1035">
        <f>IF(ISNUMBER((Datos!P19-Datos!Q19)/(Datos!R19-Datos!P19+Datos!Q19)),(Datos!P19-Datos!Q19)/(Datos!R19-Datos!P19+Datos!Q19)," - ")</f>
        <v>6.4603365384615381E-3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841.77669247847439</v>
      </c>
      <c r="G21" s="257">
        <f>IF(ISNUMBER(STDEV(G8:G18)),STDEV(G8:G18),"-")</f>
        <v>814.99128829699771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313.36847320686235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123.61013982140247</v>
      </c>
      <c r="AJ21" s="256">
        <f t="shared" si="18"/>
        <v>0</v>
      </c>
      <c r="AK21" s="258">
        <f t="shared" si="18"/>
        <v>0</v>
      </c>
      <c r="AL21" s="253">
        <f t="shared" si="18"/>
        <v>1.082736681086206</v>
      </c>
      <c r="AM21" s="254">
        <f t="shared" si="18"/>
        <v>2.8631060461513602</v>
      </c>
      <c r="AN21" s="254">
        <f t="shared" si="18"/>
        <v>0.27274388359510621</v>
      </c>
      <c r="AO21" s="255">
        <f t="shared" si="18"/>
        <v>0.95154832603964223</v>
      </c>
      <c r="AP21" s="295" t="str">
        <f t="shared" si="18"/>
        <v>-</v>
      </c>
      <c r="AQ21" s="296">
        <f t="shared" si="18"/>
        <v>0.14743223717510684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A3Uj5+OYA8Pwq6+D5Jfs8txxqSWko7jRAj52TuVF1hX0kEqzSGnzGFTyHVBuA4UvxiKyZ6S9uSmuyHCOjOaOg==" saltValue="+hEBrGE33Fa0mmA/sZ2C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NOVELDA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9.0909090909090912E-2</v>
      </c>
      <c r="E10" s="357">
        <f>IF(ISNUMBER((Datos!J10-Datos!T10)/Datos!T10),(Datos!J10-Datos!T10)/Datos!T10," - ")</f>
        <v>-0.66666666666666663</v>
      </c>
      <c r="F10" s="357">
        <f>IF(ISNUMBER((Datos!K10-Datos!U10)/Datos!U10),(Datos!K10-Datos!U10)/Datos!U10," - ")</f>
        <v>0.16666666666666666</v>
      </c>
      <c r="G10" s="358">
        <f>IF(ISNUMBER((Datos!L10-Datos!V10)/Datos!V10),(Datos!L10-Datos!V10)/Datos!V10," - ")</f>
        <v>-6.0606060606060608E-2</v>
      </c>
      <c r="H10" s="234">
        <f>IF(ISNUMBER((Datos!M10-Datos!W10)/Datos!W10),(Datos!M10-Datos!W10)/Datos!W10," - ")</f>
        <v>1</v>
      </c>
      <c r="I10" s="359">
        <f>IF(ISNUMBER((Tasas!C10-Datos!BE10)/Datos!BE10),(Tasas!C10-Datos!BE10)/Datos!BE10," - ")</f>
        <v>-0.19480519480519476</v>
      </c>
      <c r="J10" s="358">
        <f>IF(ISNUMBER((Tasas!D10-Datos!BF10)/Datos!BF10),(Tasas!D10-Datos!BF10)/Datos!BF10," - ")</f>
        <v>0.71428571428571419</v>
      </c>
      <c r="K10" s="360">
        <f>IF(ISNUMBER((Tasas!E10-Datos!BG10)/Datos!BG10),(Tasas!E10-Datos!BG10)/Datos!BG10," - ")</f>
        <v>-0.1648351648351648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0.42708333333333331</v>
      </c>
      <c r="I12" s="359">
        <f>IF(ISNUMBER((Tasas!C12-Datos!BE12)/Datos!BE12),(Tasas!C12-Datos!BE12)/Datos!BE12," - ")</f>
        <v>-0.16427557256620767</v>
      </c>
      <c r="J12" s="358">
        <f>IF(ISNUMBER((Tasas!D12-Datos!BF12)/Datos!BF12),(Tasas!D12-Datos!BF12)/Datos!BF12," - ")</f>
        <v>-8.7814935881317516E-2</v>
      </c>
      <c r="K12" s="360">
        <f>IF(ISNUMBER((Tasas!E12-Datos!BG12)/Datos!BG12),(Tasas!E12-Datos!BG12)/Datos!BG12," - ")</f>
        <v>-0.14029653440864295</v>
      </c>
      <c r="M12" t="e">
        <f>IF(Monitorios="SI",Datos!CE12,0)</f>
        <v>#REF!</v>
      </c>
      <c r="N12" t="e">
        <f>IF(Monitorios="SI",Datos!CF12,0)</f>
        <v>#REF!</v>
      </c>
      <c r="O12" t="e">
        <f>IF(Monitorios="SI",Datos!CG12,0)</f>
        <v>#REF!</v>
      </c>
      <c r="P12" t="e">
        <f>IF(Monitorios="SI",Datos!CH12,0)</f>
        <v>#REF!</v>
      </c>
      <c r="Q12">
        <f>IF(J_V="SI",0,Datos!AG12)</f>
        <v>57</v>
      </c>
      <c r="R12">
        <f>IF(J_V="SI",0,Datos!AH12)</f>
        <v>52</v>
      </c>
      <c r="S12">
        <f>IF(J_V="SI",0,Datos!AI12)</f>
        <v>65</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0.4358974358974359</v>
      </c>
      <c r="I13" s="366">
        <f>IF(ISNUMBER((Tasas!C13-Datos!BE13)/Datos!BE13),(Tasas!C13-Datos!BE13)/Datos!BE13," - ")</f>
        <v>-0.16447872140979791</v>
      </c>
      <c r="J13" s="364">
        <f>IF(ISNUMBER((Tasas!D13-Datos!BF13)/Datos!BF13),(Tasas!D13-Datos!BF13)/Datos!BF13," - ")</f>
        <v>-7.9600031493583162E-2</v>
      </c>
      <c r="K13" s="367">
        <f>IF(ISNUMBER((Tasas!E13-Datos!BG13)/Datos!BG13),(Tasas!E13-Datos!BG13)/Datos!BG13," - ")</f>
        <v>-0.1404591314519667</v>
      </c>
      <c r="M13" t="e">
        <f>IF(Monitorios="SI",Datos!CE13,0)</f>
        <v>#REF!</v>
      </c>
      <c r="N13" t="e">
        <f>IF(Monitorios="SI",Datos!CF13,0)</f>
        <v>#REF!</v>
      </c>
      <c r="O13" t="e">
        <f>IF(Monitorios="SI",Datos!CG13,0)</f>
        <v>#REF!</v>
      </c>
      <c r="P13" t="e">
        <f>IF(Monitorios="SI",Datos!CH13,0)</f>
        <v>#REF!</v>
      </c>
      <c r="Q13">
        <f>IF(J_V="SI",0,Datos!AG13)</f>
        <v>57</v>
      </c>
      <c r="R13">
        <f>IF(J_V="SI",0,Datos!AH13)</f>
        <v>52</v>
      </c>
      <c r="S13">
        <f>IF(J_V="SI",0,Datos!AI13)</f>
        <v>65</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0.3656307129798903</v>
      </c>
      <c r="E16" s="357">
        <f>IF(ISNUMBER(
   IF(D_I="SI",(Datos!J16-Datos!T16)/Datos!T16,(Datos!J16+Datos!AD16-(Datos!T16+Datos!AL16))/(Datos!T16+Datos!AL16))
     ),IF(D_I="SI",(Datos!J16-Datos!T16)/Datos!T16,(Datos!J16+Datos!AD16-(Datos!T16+Datos!AL16))/(Datos!T16+Datos!AL16))," - ")</f>
        <v>0.16612903225806452</v>
      </c>
      <c r="F16" s="357">
        <f>IF(ISNUMBER(
   IF(D_I="SI",(Datos!K16-Datos!U16)/Datos!U16,(Datos!K16+Datos!AE16-(Datos!U16+Datos!AM16))/(Datos!U16+Datos!AM16))
     ),IF(D_I="SI",(Datos!K16-Datos!U16)/Datos!U16,(Datos!K16+Datos!AE16-(Datos!U16+Datos!AM16))/(Datos!U16+Datos!AM16))," - ")</f>
        <v>5.9369202226345084E-2</v>
      </c>
      <c r="G16" s="358">
        <f>IF(ISNUMBER(
   IF(D_I="SI",(Datos!L16-Datos!V16)/Datos!V16,(Datos!L16+Datos!AF16-(Datos!V16+Datos!AN16))/(Datos!V16+Datos!AN16))
     ),IF(D_I="SI",(Datos!L16-Datos!V16)/Datos!V16,(Datos!L16+Datos!AF16-(Datos!V16+Datos!AN16))/(Datos!V16+Datos!AN16))," - ")</f>
        <v>0.40085106382978725</v>
      </c>
      <c r="H16" s="234">
        <f>IF(ISNUMBER((Datos!M16-Datos!W16)/Datos!W16),(Datos!M16-Datos!W16)/Datos!W16," - ")</f>
        <v>0.5130434782608696</v>
      </c>
      <c r="I16" s="359">
        <f>IF(ISNUMBER((Tasas!C16-Datos!BE16)/Datos!BE16),(Tasas!C16-Datos!BE16)/Datos!BE16," - ")</f>
        <v>0.32234452435070982</v>
      </c>
      <c r="J16" s="358">
        <f>IF(ISNUMBER((Tasas!D16-Datos!BF16)/Datos!BF16),(Tasas!D16-Datos!BF16)/Datos!BF16," - ")</f>
        <v>0.42824944795553183</v>
      </c>
      <c r="K16" s="360">
        <f>IF(ISNUMBER((Tasas!E16-Datos!BG16)/Datos!BG16),(Tasas!E16-Datos!BG16)/Datos!BG16," - ")</f>
        <v>0.22097713892186935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0.21518987341772153</v>
      </c>
      <c r="E17" s="357">
        <f>IF(ISNUMBER(
   IF(D_I="SI",(Datos!J17-Datos!T17)/Datos!T17,(Datos!J17+Datos!AD17-(Datos!T17+Datos!AL17))/(Datos!T17+Datos!AL17))
     ),IF(D_I="SI",(Datos!J17-Datos!T17)/Datos!T17,(Datos!J17+Datos!AD17-(Datos!T17+Datos!AL17))/(Datos!T17+Datos!AL17))," - ")</f>
        <v>-0.75609756097560976</v>
      </c>
      <c r="F17" s="357">
        <f>IF(ISNUMBER(
   IF(D_I="SI",(Datos!K17-Datos!U17)/Datos!U17,(Datos!K17+Datos!AE17-(Datos!U17+Datos!AM17))/(Datos!U17+Datos!AM17))
     ),IF(D_I="SI",(Datos!K17-Datos!U17)/Datos!U17,(Datos!K17+Datos!AE17-(Datos!U17+Datos!AM17))/(Datos!U17+Datos!AM17))," - ")</f>
        <v>-0.62650602409638556</v>
      </c>
      <c r="G17" s="358">
        <f>IF(ISNUMBER(
   IF(D_I="SI",(Datos!L17-Datos!V17)/Datos!V17,(Datos!L17+Datos!AF17-(Datos!V17+Datos!AN17))/(Datos!V17+Datos!AN17))
     ),IF(D_I="SI",(Datos!L17-Datos!V17)/Datos!V17,(Datos!L17+Datos!AF17-(Datos!V17+Datos!AN17))/(Datos!V17+Datos!AN17))," - ")</f>
        <v>8.9743589743589744E-2</v>
      </c>
      <c r="H17" s="234">
        <f>IF(ISNUMBER((Datos!M17-Datos!W17)/Datos!W17),(Datos!M17-Datos!W17)/Datos!W17," - ")</f>
        <v>-0.93333333333333335</v>
      </c>
      <c r="I17" s="359">
        <f>IF(ISNUMBER((Tasas!C17-Datos!BE17)/Datos!BE17),(Tasas!C17-Datos!BE17)/Datos!BE17," - ")</f>
        <v>1.9177005789909012</v>
      </c>
      <c r="J17" s="358">
        <f>IF(ISNUMBER((Tasas!D17-Datos!BF17)/Datos!BF17),(Tasas!D17-Datos!BF17)/Datos!BF17," - ")</f>
        <v>-0.82150537634408605</v>
      </c>
      <c r="K17" s="360">
        <f>IF(ISNUMBER((Tasas!E17-Datos!BG17)/Datos!BG17),(Tasas!E17-Datos!BG17)/Datos!BG17," - ")</f>
        <v>0.92907233019434976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0.35549872122762149</v>
      </c>
      <c r="E18" s="363">
        <f>IF(ISNUMBER(
   IF(D_I="SI",(Datos!J18-Datos!T18)/Datos!T18,(Datos!J18+Datos!AD18-(Datos!T18+Datos!AL18))/(Datos!T18+Datos!AL18))
     ),IF(D_I="SI",(Datos!J18-Datos!T18)/Datos!T18,(Datos!J18+Datos!AD18-(Datos!T18+Datos!AL18))/(Datos!T18+Datos!AL18))," - ")</f>
        <v>5.8404558404558403E-2</v>
      </c>
      <c r="F18" s="363">
        <f>IF(ISNUMBER(
   IF(D_I="SI",(Datos!K18-Datos!U18)/Datos!U18,(Datos!K18+Datos!AE18-(Datos!U18+Datos!AM18))/(Datos!U18+Datos!AM18))
     ),IF(D_I="SI",(Datos!K18-Datos!U18)/Datos!U18,(Datos!K18+Datos!AE18-(Datos!U18+Datos!AM18))/(Datos!U18+Datos!AM18))," - ")</f>
        <v>-3.215434083601286E-2</v>
      </c>
      <c r="G18" s="364">
        <f>IF(ISNUMBER(
   IF(D_I="SI",(Datos!L18-Datos!V18)/Datos!V18,(Datos!L18+Datos!AF18-(Datos!V18+Datos!AN18))/(Datos!V18+Datos!AN18))
     ),IF(D_I="SI",(Datos!L18-Datos!V18)/Datos!V18,(Datos!L18+Datos!AF18-(Datos!V18+Datos!AN18))/(Datos!V18+Datos!AN18))," - ")</f>
        <v>0.38148443735035914</v>
      </c>
      <c r="H18" s="365">
        <f>IF(ISNUMBER((Datos!M18-Datos!W18)/Datos!W18),(Datos!M18-Datos!W18)/Datos!W18," - ")</f>
        <v>0.34615384615384615</v>
      </c>
      <c r="I18" s="366">
        <f>IF(ISNUMBER((Tasas!C18-Datos!BE18)/Datos!BE18),(Tasas!C18-Datos!BE18)/Datos!BE18," - ")</f>
        <v>0.42738093028558682</v>
      </c>
      <c r="J18" s="364">
        <f>IF(ISNUMBER((Tasas!D18-Datos!BF18)/Datos!BF18),(Tasas!D18-Datos!BF18)/Datos!BF18," - ")</f>
        <v>0.39087656529517006</v>
      </c>
      <c r="K18" s="367">
        <f>IF(ISNUMBER((Tasas!E18-Datos!BG18)/Datos!BG18),(Tasas!E18-Datos!BG18)/Datos!BG18," - ")</f>
        <v>0.28560442967884819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0.24433622697438068</v>
      </c>
      <c r="E19" s="372">
        <f>IF(ISNUMBER(
   IF(J_V="SI",(Datos!J19-Datos!T19)/Datos!T19,(Datos!J19+Datos!Z19-(Datos!T19+Datos!AH19))/(Datos!T19+Datos!AH19))
     ),IF(J_V="SI",(Datos!J19-Datos!T19)/Datos!T19,(Datos!J19+Datos!Z19-(Datos!T19+Datos!AH19))/(Datos!T19+Datos!AH19))," - ")</f>
        <v>0.28094302554027506</v>
      </c>
      <c r="F19" s="372">
        <f>IF(ISNUMBER(
   IF(J_V="SI",(Datos!K19-Datos!U19)/Datos!U19,(Datos!K19+Datos!AA19-(Datos!U19+Datos!AI19))/(Datos!U19+Datos!AI19))
     ),IF(J_V="SI",(Datos!K19-Datos!U19)/Datos!U19,(Datos!K19+Datos!AA19-(Datos!U19+Datos!AI19))/(Datos!U19+Datos!AI19))," - ")</f>
        <v>0.22403100775193799</v>
      </c>
      <c r="G19" s="373">
        <f>IF(ISNUMBER(
   IF(J_V="SI",(Datos!L19-Datos!V19)/Datos!V19,(Datos!L19+Datos!AB19-(Datos!V19+Datos!AJ19))/(Datos!V19+Datos!AJ19))
     ),IF(J_V="SI",(Datos!L19-Datos!V19)/Datos!V19,(Datos!L19+Datos!AB19-(Datos!V19+Datos!AJ19))/(Datos!V19+Datos!AJ19))," - ")</f>
        <v>0.26229838709677417</v>
      </c>
      <c r="H19" s="374">
        <f>IF(ISNUMBER((Datos!M19-Datos!W19)/Datos!W19),(Datos!M19-Datos!W19)/Datos!W19," - ")</f>
        <v>0.4</v>
      </c>
      <c r="I19" s="371">
        <f>IF(ISNUMBER((Tasas!C19-Datos!BE19)/Datos!BE19),(Tasas!C19-Datos!BE19)/Datos!BE19," - ")</f>
        <v>3.1263406811170714E-2</v>
      </c>
      <c r="J19" s="372">
        <f>IF(ISNUMBER((Tasas!D19-Datos!BF19)/Datos!BF19),(Tasas!D19-Datos!BF19)/Datos!BF19," - ")</f>
        <v>9.9771033273249779E-2</v>
      </c>
      <c r="K19" s="373">
        <f>IF(ISNUMBER((Tasas!E19-Datos!BG19)/Datos!BG19),(Tasas!E19-Datos!BG19)/Datos!BG19," - ")</f>
        <v>2.3895630145661918E-2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0.130175212452629</v>
      </c>
      <c r="E21" s="282">
        <f t="shared" si="1"/>
        <v>0.47895676531045978</v>
      </c>
      <c r="F21" s="282">
        <f t="shared" si="1"/>
        <v>0.35499069995850902</v>
      </c>
      <c r="G21" s="283">
        <f t="shared" si="1"/>
        <v>0.22606550530248651</v>
      </c>
      <c r="H21" s="289">
        <f t="shared" si="1"/>
        <v>0.64702803015859933</v>
      </c>
      <c r="I21" s="281">
        <f t="shared" si="1"/>
        <v>0.81118400457471518</v>
      </c>
      <c r="J21" s="282">
        <f t="shared" si="1"/>
        <v>0.54514091036509849</v>
      </c>
      <c r="K21" s="283">
        <f t="shared" si="1"/>
        <v>0.42350628909542515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ovkANqA+2q9Irm5n+ofy1JEd5EDjx+/tooYGDd7ksH6kp7GP9U1nXJOHOUPwEtav5sTnJAfhhStB6O/Y+ho8w==" saltValue="J0JolPvSOkXkkay6jZ7n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